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tabRatio="651" activeTab="0"/>
  </bookViews>
  <sheets>
    <sheet name="Earth-Mars" sheetId="1" r:id="rId1"/>
    <sheet name="Inter-Satellite" sheetId="2" r:id="rId2"/>
    <sheet name="Satellite-Surface" sheetId="3" r:id="rId3"/>
    <sheet name="UpDown Channels" sheetId="4" r:id="rId4"/>
    <sheet name="Pricing" sheetId="5" r:id="rId5"/>
  </sheets>
  <definedNames/>
  <calcPr fullCalcOnLoad="1"/>
</workbook>
</file>

<file path=xl/sharedStrings.xml><?xml version="1.0" encoding="utf-8"?>
<sst xmlns="http://schemas.openxmlformats.org/spreadsheetml/2006/main" count="476" uniqueCount="197">
  <si>
    <t>Mars to Earth</t>
  </si>
  <si>
    <t>Pr</t>
  </si>
  <si>
    <t>Wavelength</t>
  </si>
  <si>
    <t>Units</t>
  </si>
  <si>
    <t>dBW</t>
  </si>
  <si>
    <t>Hz</t>
  </si>
  <si>
    <t>m</t>
  </si>
  <si>
    <t>dBi</t>
  </si>
  <si>
    <t>K</t>
  </si>
  <si>
    <t>Earth to Mars</t>
  </si>
  <si>
    <t>dB</t>
  </si>
  <si>
    <t>Pnoise</t>
  </si>
  <si>
    <t>C/N</t>
  </si>
  <si>
    <t>Rain Fade</t>
  </si>
  <si>
    <t>Sat. to Sat.</t>
  </si>
  <si>
    <t>Sat. to Surface</t>
  </si>
  <si>
    <t>Surface to Sat.</t>
  </si>
  <si>
    <t>Channel</t>
  </si>
  <si>
    <t>Downlink channel roll off</t>
  </si>
  <si>
    <t>Downlink start freq</t>
  </si>
  <si>
    <t>Downlink channel data rate</t>
  </si>
  <si>
    <t>Downlink channel RF bandwidth</t>
  </si>
  <si>
    <t>Guard Band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</si>
  <si>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</si>
  <si>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</si>
  <si>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</si>
  <si>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</si>
  <si>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</si>
  <si>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</si>
  <si>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</si>
  <si>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</si>
  <si>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</si>
  <si>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</si>
  <si>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</si>
  <si>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</si>
  <si>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</si>
  <si>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</si>
  <si>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</si>
  <si>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</si>
  <si>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</si>
  <si>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</si>
  <si>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</si>
  <si>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</si>
  <si>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</si>
  <si>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</si>
  <si>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</si>
  <si>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</si>
  <si>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</si>
  <si>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</si>
  <si>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</si>
  <si>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</si>
  <si>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</si>
  <si>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</si>
  <si>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</si>
  <si>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</si>
  <si>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</si>
  <si>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</si>
  <si>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</si>
  <si>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</si>
  <si>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</si>
  <si>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</si>
  <si>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</si>
  <si>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</si>
  <si>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</si>
  <si>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</si>
  <si>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</si>
  <si>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</si>
  <si>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</si>
  <si>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</si>
  <si>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</si>
  <si>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</si>
  <si>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</si>
  <si>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</si>
  <si>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Total Channel Bandwidth</t>
  </si>
  <si>
    <t>Method 1</t>
  </si>
  <si>
    <t>Guard Band (rounded)</t>
  </si>
  <si>
    <t>Total Channel Bandwidth (rounded)</t>
  </si>
  <si>
    <t>Downlink channel RF bandwidth (rounded)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</si>
  <si>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</si>
  <si>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</si>
  <si>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</si>
  <si>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</si>
  <si>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</si>
  <si>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</si>
  <si>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</si>
  <si>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</si>
  <si>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</si>
  <si>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</si>
  <si>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</si>
  <si>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</si>
  <si>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</si>
  <si>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</si>
  <si>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</si>
  <si>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</si>
  <si>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</si>
  <si>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</si>
  <si>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</si>
  <si>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</si>
  <si>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</si>
  <si>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</si>
  <si>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</si>
  <si>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</si>
  <si>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</si>
  <si>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</si>
  <si>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</si>
  <si>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</si>
  <si>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</si>
  <si>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</si>
  <si>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</si>
  <si>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</si>
  <si>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</si>
  <si>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</si>
  <si>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</si>
  <si>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</si>
  <si>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</si>
  <si>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U38</t>
  </si>
  <si>
    <t>U39</t>
  </si>
  <si>
    <t>U40</t>
  </si>
  <si>
    <t>U41</t>
  </si>
  <si>
    <t>U42</t>
  </si>
  <si>
    <t>U43</t>
  </si>
  <si>
    <t>U44</t>
  </si>
  <si>
    <t>U45</t>
  </si>
  <si>
    <t>U46</t>
  </si>
  <si>
    <t>U47</t>
  </si>
  <si>
    <t>U48</t>
  </si>
  <si>
    <t>U49</t>
  </si>
  <si>
    <t>U50</t>
  </si>
  <si>
    <t>Uplink start freq</t>
  </si>
  <si>
    <t>Uplink channel data rate</t>
  </si>
  <si>
    <t>Uplink channel roll off</t>
  </si>
  <si>
    <t>Uplink channel RF bandwidth</t>
  </si>
  <si>
    <t>Uplink channel RF bandwidth (rounded)</t>
  </si>
  <si>
    <t>Downlink (3Mbps)</t>
  </si>
  <si>
    <t>Uplink (1.5 Mbps)</t>
  </si>
  <si>
    <t>bps</t>
  </si>
  <si>
    <t>Uplink channel coded data rate</t>
  </si>
  <si>
    <t>Downlink channel coded data rate</t>
  </si>
  <si>
    <t>Max Distance</t>
  </si>
  <si>
    <t>Transmitted Power (Earth DSN)</t>
  </si>
  <si>
    <t>Frequency</t>
  </si>
  <si>
    <t>Diameter (Satillite Antenna)</t>
  </si>
  <si>
    <t>Diameter (Earth Antenna)</t>
  </si>
  <si>
    <t>Satellite Antenna Efficiency</t>
  </si>
  <si>
    <t>Earth Antenna Efficiency</t>
  </si>
  <si>
    <t>Gain (Earth Antenna)</t>
  </si>
  <si>
    <t>Gain (Satellite Antenna)</t>
  </si>
  <si>
    <t>Noise Temperature (blackbody)</t>
  </si>
  <si>
    <t>Noise Temperature (Satellite LNA)</t>
  </si>
  <si>
    <t>Loss (propagation loss)</t>
  </si>
  <si>
    <t>Bandwidth</t>
  </si>
  <si>
    <t>Design Margin</t>
  </si>
  <si>
    <t>Noise Power at Satellite</t>
  </si>
  <si>
    <t>Signal Power Received at Satellite</t>
  </si>
  <si>
    <t>Value</t>
  </si>
  <si>
    <t>Earth Antenna System Noise Temp.</t>
  </si>
  <si>
    <t>Signal Power Received at Earth</t>
  </si>
  <si>
    <t>Noise Power at Earth</t>
  </si>
  <si>
    <t>solar cell 20 % efficient</t>
  </si>
  <si>
    <t>w/m2</t>
  </si>
  <si>
    <t>Required C/N (w/ Turbo Coding)</t>
  </si>
  <si>
    <t>Rain Attenuation</t>
  </si>
  <si>
    <r>
      <t>γ</t>
    </r>
    <r>
      <rPr>
        <sz val="10"/>
        <rFont val="Arial"/>
        <family val="0"/>
      </rPr>
      <t>R</t>
    </r>
  </si>
  <si>
    <t>k</t>
  </si>
  <si>
    <t>α</t>
  </si>
  <si>
    <t>R</t>
  </si>
  <si>
    <t>Leff</t>
  </si>
  <si>
    <t>A</t>
  </si>
  <si>
    <t>km</t>
  </si>
  <si>
    <t>good for dry regions (region E) 0.3%</t>
  </si>
  <si>
    <t xml:space="preserve">  </t>
  </si>
  <si>
    <t>Extra C/N Margin</t>
  </si>
  <si>
    <t>Transmitted Power</t>
  </si>
  <si>
    <t>Gain (Mars Terminal Antenna)</t>
  </si>
  <si>
    <t>Possible Alignment Error</t>
  </si>
  <si>
    <t>Signal Power Received</t>
  </si>
  <si>
    <t>Noise Power</t>
  </si>
  <si>
    <t>Bandwidth (1/2 rate Turbo Code)</t>
  </si>
  <si>
    <t>Earth Communicating Satellite</t>
  </si>
  <si>
    <t>Transmit Power</t>
  </si>
  <si>
    <t xml:space="preserve">     Earth Link Transmit Power</t>
  </si>
  <si>
    <t xml:space="preserve">     Inter-Satellite Link Transmit Power (two)</t>
  </si>
  <si>
    <t xml:space="preserve">     Ground Link Transmit Power</t>
  </si>
  <si>
    <t>Unit Cost</t>
  </si>
  <si>
    <t>Quantity</t>
  </si>
  <si>
    <t>Subtotal</t>
  </si>
  <si>
    <t>Regular Satellite</t>
  </si>
  <si>
    <t xml:space="preserve">     Inter-Satellite Link Transmit Power</t>
  </si>
  <si>
    <t>Total:</t>
  </si>
  <si>
    <t>Uplink Channel</t>
  </si>
  <si>
    <t>Downlink Channel</t>
  </si>
  <si>
    <t>Chanel Freq (GHz)</t>
  </si>
  <si>
    <t>Chanel Freq</t>
  </si>
  <si>
    <t>VCO Freq (GHz)</t>
  </si>
  <si>
    <t>m2</t>
  </si>
  <si>
    <t>required area</t>
  </si>
  <si>
    <t>Power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</si>
</sst>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E+00"/>
    <numFmt numFmtId="167" formatCode="0.000000E+00"/>
    <numFmt numFmtId="168" formatCode="0.00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sz val="10"/>
      <name val="Verdana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5.421875" style="0" bestFit="1" customWidth="1"/>
    <col min="3" max="3" width="11.8515625" style="0" customWidth="1"/>
    <col min="4" max="4" width="12.57421875" style="0" bestFit="1" customWidth="1"/>
    <col min="5" max="5" width="3.28125" style="0" customWidth="1"/>
    <col min="9" max="9" width="9.57421875" style="0" customWidth="1"/>
    <col min="10" max="10" width="12.00390625" style="0" bestFit="1" customWidth="1"/>
  </cols>
  <sheetData>
    <row r="2" ht="12.75">
      <c r="A2" s="1" t="s">
        <v>9</v>
      </c>
    </row>
    <row r="3" spans="2:4" ht="12.75">
      <c r="B3" s="1" t="s">
        <v>3</v>
      </c>
      <c r="C3" s="1" t="s">
        <v>154</v>
      </c>
      <c r="D3" s="1"/>
    </row>
    <row r="4" spans="1:4" ht="12.75">
      <c r="A4" t="s">
        <v>139</v>
      </c>
      <c r="B4" t="s">
        <v>4</v>
      </c>
      <c r="C4" s="3">
        <f>10*LOG(500000)</f>
        <v>56.98970004336019</v>
      </c>
      <c r="D4" s="14"/>
    </row>
    <row r="5" spans="1:4" ht="12.75">
      <c r="A5" t="s">
        <v>140</v>
      </c>
      <c r="B5" t="s">
        <v>5</v>
      </c>
      <c r="C5" s="2">
        <v>34500000000</v>
      </c>
      <c r="D5" s="15"/>
    </row>
    <row r="6" spans="1:4" ht="12.75">
      <c r="A6" t="s">
        <v>2</v>
      </c>
      <c r="B6" t="s">
        <v>6</v>
      </c>
      <c r="C6" s="4">
        <f>300000000/C5</f>
        <v>0.008695652173913044</v>
      </c>
      <c r="D6" s="16"/>
    </row>
    <row r="7" spans="1:4" ht="12.75">
      <c r="A7" t="s">
        <v>141</v>
      </c>
      <c r="B7" t="s">
        <v>6</v>
      </c>
      <c r="C7" s="3">
        <v>4.5</v>
      </c>
      <c r="D7" s="14"/>
    </row>
    <row r="8" spans="1:4" ht="12.75">
      <c r="A8" t="s">
        <v>142</v>
      </c>
      <c r="B8" t="s">
        <v>6</v>
      </c>
      <c r="C8" s="3">
        <v>34</v>
      </c>
      <c r="D8" s="14"/>
    </row>
    <row r="9" spans="1:4" ht="12.75">
      <c r="A9" t="s">
        <v>143</v>
      </c>
      <c r="C9" s="3">
        <v>0.8</v>
      </c>
      <c r="D9" s="14"/>
    </row>
    <row r="10" spans="1:4" ht="12.75">
      <c r="A10" t="s">
        <v>144</v>
      </c>
      <c r="C10" s="3">
        <v>0.94</v>
      </c>
      <c r="D10" s="14"/>
    </row>
    <row r="11" spans="1:4" ht="12.75">
      <c r="A11" t="s">
        <v>145</v>
      </c>
      <c r="B11" t="s">
        <v>7</v>
      </c>
      <c r="C11" s="3">
        <f>10*LOG(0.94*(PI()*C8/C6)^2)</f>
        <v>81.517811137797</v>
      </c>
      <c r="D11" s="14"/>
    </row>
    <row r="12" spans="1:4" ht="12.75">
      <c r="A12" t="s">
        <v>146</v>
      </c>
      <c r="B12" t="s">
        <v>7</v>
      </c>
      <c r="C12" s="3">
        <f>10*LOG(C9*(PI()*C7/C6)^2)</f>
        <v>63.25210440638122</v>
      </c>
      <c r="D12" s="14"/>
    </row>
    <row r="13" spans="1:4" ht="12.75">
      <c r="A13" t="s">
        <v>147</v>
      </c>
      <c r="B13" t="s">
        <v>8</v>
      </c>
      <c r="C13" s="8">
        <v>15</v>
      </c>
      <c r="D13" s="17"/>
    </row>
    <row r="14" spans="1:4" ht="12.75">
      <c r="A14" t="s">
        <v>148</v>
      </c>
      <c r="B14" t="s">
        <v>8</v>
      </c>
      <c r="C14" s="5">
        <v>30</v>
      </c>
      <c r="D14" s="17"/>
    </row>
    <row r="15" spans="1:4" ht="12.75">
      <c r="A15" t="s">
        <v>138</v>
      </c>
      <c r="B15" t="s">
        <v>6</v>
      </c>
      <c r="C15" s="2">
        <v>401300000000</v>
      </c>
      <c r="D15" s="15"/>
    </row>
    <row r="16" spans="1:4" ht="12.75">
      <c r="A16" t="s">
        <v>149</v>
      </c>
      <c r="B16" t="s">
        <v>10</v>
      </c>
      <c r="C16" s="2">
        <f>-20*LOG(4*PI()*C15/C6)</f>
        <v>-295.267537282191</v>
      </c>
      <c r="D16" s="15"/>
    </row>
    <row r="17" spans="1:4" ht="12.75">
      <c r="A17" t="s">
        <v>150</v>
      </c>
      <c r="B17" t="s">
        <v>5</v>
      </c>
      <c r="C17" s="2">
        <v>175000000</v>
      </c>
      <c r="D17" s="15"/>
    </row>
    <row r="18" spans="1:4" ht="12.75">
      <c r="A18" t="s">
        <v>13</v>
      </c>
      <c r="B18" t="s">
        <v>10</v>
      </c>
      <c r="C18" s="21">
        <v>3</v>
      </c>
      <c r="D18" s="18"/>
    </row>
    <row r="19" spans="1:4" ht="12.75">
      <c r="A19" t="s">
        <v>151</v>
      </c>
      <c r="B19" t="s">
        <v>10</v>
      </c>
      <c r="C19">
        <v>2</v>
      </c>
      <c r="D19" s="18"/>
    </row>
    <row r="20" ht="12.75">
      <c r="D20" s="18"/>
    </row>
    <row r="21" spans="1:4" ht="12.75">
      <c r="A21" t="s">
        <v>153</v>
      </c>
      <c r="B21" t="s">
        <v>4</v>
      </c>
      <c r="C21" s="3">
        <f>C4+C11+C12+C16-C18-C19</f>
        <v>-98.50792169465257</v>
      </c>
      <c r="D21" s="14"/>
    </row>
    <row r="22" spans="1:4" ht="12.75">
      <c r="A22" t="s">
        <v>152</v>
      </c>
      <c r="B22" t="s">
        <v>4</v>
      </c>
      <c r="C22" s="3">
        <f>10*LOG(1.3806E-23*(C13+C14)*C17)</f>
        <v>-129.63681568486075</v>
      </c>
      <c r="D22" s="14"/>
    </row>
    <row r="23" spans="1:4" ht="12.75">
      <c r="A23" s="1" t="s">
        <v>12</v>
      </c>
      <c r="B23" s="1" t="s">
        <v>10</v>
      </c>
      <c r="C23" s="19">
        <f>C21-C22</f>
        <v>31.128893990208184</v>
      </c>
      <c r="D23" s="14"/>
    </row>
    <row r="24" spans="1:6" ht="12.75">
      <c r="A24" t="s">
        <v>160</v>
      </c>
      <c r="B24" t="s">
        <v>10</v>
      </c>
      <c r="C24">
        <v>0.9</v>
      </c>
      <c r="F24" s="7"/>
    </row>
    <row r="25" spans="1:6" ht="12.75">
      <c r="A25" t="s">
        <v>171</v>
      </c>
      <c r="B25" t="s">
        <v>10</v>
      </c>
      <c r="C25" s="3">
        <f>C23-C24</f>
        <v>30.228893990208185</v>
      </c>
      <c r="F25" s="7"/>
    </row>
    <row r="26" ht="12.75">
      <c r="F26" s="7"/>
    </row>
    <row r="29" ht="12.75">
      <c r="A29" s="1" t="s">
        <v>0</v>
      </c>
    </row>
    <row r="30" spans="2:4" ht="12.75">
      <c r="B30" s="1" t="s">
        <v>3</v>
      </c>
      <c r="C30" s="1" t="s">
        <v>154</v>
      </c>
      <c r="D30" s="1"/>
    </row>
    <row r="31" spans="1:4" ht="12.75">
      <c r="A31" t="s">
        <v>139</v>
      </c>
      <c r="B31" t="s">
        <v>4</v>
      </c>
      <c r="C31" s="3">
        <f>10*LOG(240)</f>
        <v>23.80211241711606</v>
      </c>
      <c r="D31" s="3"/>
    </row>
    <row r="32" spans="1:4" ht="12.75">
      <c r="A32" t="s">
        <v>140</v>
      </c>
      <c r="B32" t="s">
        <v>5</v>
      </c>
      <c r="C32" s="2">
        <v>32000000000</v>
      </c>
      <c r="D32" s="2"/>
    </row>
    <row r="33" spans="1:4" ht="12.75">
      <c r="A33" t="s">
        <v>2</v>
      </c>
      <c r="B33" t="s">
        <v>6</v>
      </c>
      <c r="C33" s="4">
        <f>300000000/C32</f>
        <v>0.009375</v>
      </c>
      <c r="D33" s="4"/>
    </row>
    <row r="34" spans="1:4" ht="12.75">
      <c r="A34" t="s">
        <v>141</v>
      </c>
      <c r="B34" t="s">
        <v>6</v>
      </c>
      <c r="C34" s="3">
        <v>4.5</v>
      </c>
      <c r="D34" s="3"/>
    </row>
    <row r="35" spans="1:4" ht="12.75">
      <c r="A35" t="s">
        <v>142</v>
      </c>
      <c r="B35" t="s">
        <v>6</v>
      </c>
      <c r="C35" s="3">
        <v>34</v>
      </c>
      <c r="D35" s="3"/>
    </row>
    <row r="36" spans="1:4" ht="12.75">
      <c r="A36" t="s">
        <v>143</v>
      </c>
      <c r="C36" s="3">
        <v>0.8</v>
      </c>
      <c r="D36" s="3"/>
    </row>
    <row r="37" spans="1:4" ht="12.75">
      <c r="A37" t="s">
        <v>144</v>
      </c>
      <c r="C37" s="3">
        <v>0.85</v>
      </c>
      <c r="D37" s="3"/>
    </row>
    <row r="38" spans="1:4" ht="12.75">
      <c r="A38" t="s">
        <v>145</v>
      </c>
      <c r="B38" t="s">
        <v>7</v>
      </c>
      <c r="C38" s="3">
        <f>10*LOG(0.94*(PI()*C35/C33)^2)</f>
        <v>80.86442880272963</v>
      </c>
      <c r="D38" s="3"/>
    </row>
    <row r="39" spans="1:4" ht="12.75">
      <c r="A39" t="s">
        <v>146</v>
      </c>
      <c r="B39" t="s">
        <v>7</v>
      </c>
      <c r="C39" s="3">
        <f>10*LOG(C36*(PI()*C34/C33)^2)</f>
        <v>62.59872207131386</v>
      </c>
      <c r="D39" s="3"/>
    </row>
    <row r="40" spans="1:4" ht="12.75">
      <c r="A40" t="s">
        <v>155</v>
      </c>
      <c r="B40" t="s">
        <v>8</v>
      </c>
      <c r="C40" s="5">
        <v>20</v>
      </c>
      <c r="D40" s="5"/>
    </row>
    <row r="41" spans="1:4" ht="12.75">
      <c r="A41" t="s">
        <v>138</v>
      </c>
      <c r="B41" t="s">
        <v>6</v>
      </c>
      <c r="C41" s="2">
        <v>401300000000</v>
      </c>
      <c r="D41" s="2"/>
    </row>
    <row r="42" spans="1:4" ht="12.75">
      <c r="A42" t="s">
        <v>149</v>
      </c>
      <c r="B42" t="s">
        <v>10</v>
      </c>
      <c r="C42" s="3">
        <f>-20*LOG(4*PI()*C41/C33)</f>
        <v>-294.6141549471236</v>
      </c>
      <c r="D42" s="3"/>
    </row>
    <row r="43" spans="1:4" ht="12.75">
      <c r="A43" t="s">
        <v>150</v>
      </c>
      <c r="B43" t="s">
        <v>5</v>
      </c>
      <c r="C43" s="2">
        <f>1500000*2*50/4</f>
        <v>37500000</v>
      </c>
      <c r="D43" s="2"/>
    </row>
    <row r="44" spans="1:4" ht="12.75">
      <c r="A44" t="s">
        <v>13</v>
      </c>
      <c r="B44" t="s">
        <v>10</v>
      </c>
      <c r="C44" s="21">
        <v>3</v>
      </c>
      <c r="D44" s="21"/>
    </row>
    <row r="45" spans="1:3" ht="12.75">
      <c r="A45" t="s">
        <v>151</v>
      </c>
      <c r="B45" t="s">
        <v>10</v>
      </c>
      <c r="C45">
        <v>2</v>
      </c>
    </row>
    <row r="46" ht="12.75">
      <c r="G46" t="s">
        <v>170</v>
      </c>
    </row>
    <row r="47" spans="1:4" ht="12.75">
      <c r="A47" t="s">
        <v>156</v>
      </c>
      <c r="B47" t="s">
        <v>4</v>
      </c>
      <c r="C47" s="3">
        <f>C31+C38+C39+C42-C44-C45</f>
        <v>-132.34889165596405</v>
      </c>
      <c r="D47" s="3"/>
    </row>
    <row r="48" spans="1:4" ht="12.75">
      <c r="A48" t="s">
        <v>157</v>
      </c>
      <c r="B48" t="s">
        <v>4</v>
      </c>
      <c r="C48" s="3">
        <f>10*LOG(1.3806E-23*(C40)*C43)</f>
        <v>-139.84870867556015</v>
      </c>
      <c r="D48" s="3"/>
    </row>
    <row r="49" spans="1:4" ht="12.75">
      <c r="A49" s="1" t="s">
        <v>12</v>
      </c>
      <c r="B49" s="1" t="s">
        <v>10</v>
      </c>
      <c r="C49" s="19">
        <f>C47-C48</f>
        <v>7.499817019596094</v>
      </c>
      <c r="D49" s="19"/>
    </row>
    <row r="50" spans="1:3" ht="12.75">
      <c r="A50" t="s">
        <v>160</v>
      </c>
      <c r="B50" t="s">
        <v>10</v>
      </c>
      <c r="C50">
        <v>0.9</v>
      </c>
    </row>
    <row r="51" spans="1:6" ht="12.75">
      <c r="A51" t="s">
        <v>171</v>
      </c>
      <c r="B51" t="s">
        <v>10</v>
      </c>
      <c r="C51" s="3">
        <f>C49-C50</f>
        <v>6.5998170195960935</v>
      </c>
      <c r="D51" s="3"/>
      <c r="F51" s="7"/>
    </row>
    <row r="55" ht="12.75">
      <c r="A55" s="26" t="s">
        <v>161</v>
      </c>
    </row>
    <row r="56" spans="1:3" ht="12.75">
      <c r="A56" t="s">
        <v>163</v>
      </c>
      <c r="C56">
        <v>0.167</v>
      </c>
    </row>
    <row r="57" spans="1:3" ht="12.75">
      <c r="A57" s="20" t="s">
        <v>164</v>
      </c>
      <c r="C57">
        <v>1</v>
      </c>
    </row>
    <row r="58" spans="1:3" ht="12.75">
      <c r="A58" t="s">
        <v>165</v>
      </c>
      <c r="C58">
        <v>2.4</v>
      </c>
    </row>
    <row r="59" spans="1:3" ht="12.75">
      <c r="A59" s="20" t="s">
        <v>162</v>
      </c>
      <c r="C59">
        <f>C56*C58^C57</f>
        <v>0.4008</v>
      </c>
    </row>
    <row r="60" spans="1:3" ht="12.75">
      <c r="A60" t="s">
        <v>166</v>
      </c>
      <c r="B60" t="s">
        <v>168</v>
      </c>
      <c r="C60">
        <v>6</v>
      </c>
    </row>
    <row r="61" spans="1:3" ht="12.75">
      <c r="A61" s="20" t="s">
        <v>167</v>
      </c>
      <c r="B61" t="s">
        <v>10</v>
      </c>
      <c r="C61">
        <f>C59*C60</f>
        <v>2.4048</v>
      </c>
    </row>
    <row r="62" ht="12.75">
      <c r="D62" t="s">
        <v>169</v>
      </c>
    </row>
    <row r="68" ht="12.75">
      <c r="J68" s="10"/>
    </row>
    <row r="69" ht="12.75">
      <c r="J69" s="2"/>
    </row>
    <row r="114" ht="12.75">
      <c r="A114" s="26" t="s">
        <v>196</v>
      </c>
    </row>
    <row r="115" spans="1:3" ht="12.75">
      <c r="A115">
        <f>32*240</f>
        <v>7680</v>
      </c>
      <c r="C115" t="s">
        <v>158</v>
      </c>
    </row>
    <row r="116" ht="12.75">
      <c r="A116">
        <f>32*100</f>
        <v>3200</v>
      </c>
    </row>
    <row r="117" ht="12.75">
      <c r="A117">
        <f>32*125/11270</f>
        <v>0.354924578527063</v>
      </c>
    </row>
    <row r="118" ht="12.75">
      <c r="A118">
        <f>16*200/7700</f>
        <v>0.4155844155844156</v>
      </c>
    </row>
    <row r="120" ht="12.75">
      <c r="A120">
        <v>1000</v>
      </c>
    </row>
    <row r="121" spans="1:2" ht="12.75">
      <c r="A121">
        <f>590*(1-0.19)</f>
        <v>477.90000000000003</v>
      </c>
      <c r="B121" t="s">
        <v>159</v>
      </c>
    </row>
    <row r="122" ht="12.75">
      <c r="A122">
        <f>A120/0.2</f>
        <v>5000</v>
      </c>
    </row>
    <row r="123" spans="1:3" ht="12.75">
      <c r="A123">
        <f>A122/A121</f>
        <v>10.462439840970914</v>
      </c>
      <c r="B123" t="s">
        <v>194</v>
      </c>
      <c r="C123" t="s">
        <v>195</v>
      </c>
    </row>
    <row r="124" ht="12.75">
      <c r="A124">
        <f>1.5*5</f>
        <v>7.5</v>
      </c>
    </row>
  </sheetData>
  <printOptions/>
  <pageMargins left="0.25" right="0.25" top="0.25" bottom="0.2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"/>
  <sheetViews>
    <sheetView workbookViewId="0" topLeftCell="A1">
      <selection activeCell="C4" sqref="C4"/>
    </sheetView>
  </sheetViews>
  <sheetFormatPr defaultColWidth="9.140625" defaultRowHeight="12.75"/>
  <cols>
    <col min="1" max="1" width="31.140625" style="0" customWidth="1"/>
    <col min="3" max="3" width="10.57421875" style="0" customWidth="1"/>
  </cols>
  <sheetData>
    <row r="2" ht="12.75">
      <c r="A2" s="1" t="s">
        <v>14</v>
      </c>
    </row>
    <row r="3" spans="2:4" ht="12.75">
      <c r="B3" s="1" t="s">
        <v>3</v>
      </c>
      <c r="C3" s="1" t="s">
        <v>154</v>
      </c>
      <c r="D3" s="1"/>
    </row>
    <row r="4" spans="1:4" ht="12.75">
      <c r="A4" t="s">
        <v>172</v>
      </c>
      <c r="B4" t="s">
        <v>4</v>
      </c>
      <c r="C4" s="3">
        <f>10*LOG(10)</f>
        <v>10</v>
      </c>
      <c r="D4" s="3"/>
    </row>
    <row r="5" spans="1:4" ht="12.75">
      <c r="A5" t="s">
        <v>140</v>
      </c>
      <c r="B5" t="s">
        <v>5</v>
      </c>
      <c r="C5" s="2">
        <v>14000000000</v>
      </c>
      <c r="D5" s="2"/>
    </row>
    <row r="6" spans="1:4" ht="12.75">
      <c r="A6" t="s">
        <v>2</v>
      </c>
      <c r="B6" t="s">
        <v>6</v>
      </c>
      <c r="C6" s="4">
        <f>300000000/C5</f>
        <v>0.02142857142857143</v>
      </c>
      <c r="D6" s="4"/>
    </row>
    <row r="7" spans="1:4" ht="12.75">
      <c r="A7" t="s">
        <v>141</v>
      </c>
      <c r="B7" t="s">
        <v>6</v>
      </c>
      <c r="C7" s="3">
        <v>0.5</v>
      </c>
      <c r="D7" s="3"/>
    </row>
    <row r="8" spans="1:4" ht="12.75">
      <c r="A8" t="s">
        <v>143</v>
      </c>
      <c r="C8" s="3">
        <v>0.8</v>
      </c>
      <c r="D8" s="3"/>
    </row>
    <row r="9" spans="1:4" ht="12.75">
      <c r="A9" t="s">
        <v>146</v>
      </c>
      <c r="B9" t="s">
        <v>7</v>
      </c>
      <c r="C9" s="3">
        <f>10*LOG(C8*(PI()*C7/C6)^2)</f>
        <v>36.333433029694</v>
      </c>
      <c r="D9" s="3"/>
    </row>
    <row r="10" spans="1:4" ht="12.75">
      <c r="A10" t="s">
        <v>147</v>
      </c>
      <c r="B10" t="s">
        <v>8</v>
      </c>
      <c r="C10" s="8">
        <v>15</v>
      </c>
      <c r="D10" s="8"/>
    </row>
    <row r="11" spans="1:4" ht="12.75">
      <c r="A11" t="s">
        <v>148</v>
      </c>
      <c r="B11" t="s">
        <v>8</v>
      </c>
      <c r="C11" s="5">
        <v>30</v>
      </c>
      <c r="D11" s="5"/>
    </row>
    <row r="12" spans="1:4" ht="12.75">
      <c r="A12" t="s">
        <v>138</v>
      </c>
      <c r="B12" t="s">
        <v>6</v>
      </c>
      <c r="C12" s="2">
        <v>21107000</v>
      </c>
      <c r="D12" s="2"/>
    </row>
    <row r="13" spans="1:4" ht="12.75">
      <c r="A13" t="s">
        <v>149</v>
      </c>
      <c r="B13" t="s">
        <v>10</v>
      </c>
      <c r="C13" s="3">
        <f>-20*LOG(4*PI()*C12/C6)</f>
        <v>-201.85286310244808</v>
      </c>
      <c r="D13" s="3"/>
    </row>
    <row r="14" spans="1:4" ht="12.75">
      <c r="A14" t="s">
        <v>150</v>
      </c>
      <c r="B14" t="s">
        <v>5</v>
      </c>
      <c r="C14" s="2">
        <v>200000000</v>
      </c>
      <c r="D14" s="2"/>
    </row>
    <row r="15" spans="1:3" ht="12.75">
      <c r="A15" t="s">
        <v>174</v>
      </c>
      <c r="B15" t="s">
        <v>10</v>
      </c>
      <c r="C15">
        <v>3</v>
      </c>
    </row>
    <row r="16" spans="1:3" ht="12.75">
      <c r="A16" t="s">
        <v>151</v>
      </c>
      <c r="B16" t="s">
        <v>10</v>
      </c>
      <c r="C16">
        <v>2</v>
      </c>
    </row>
    <row r="18" spans="1:4" ht="12.75">
      <c r="A18" t="s">
        <v>175</v>
      </c>
      <c r="B18" t="s">
        <v>4</v>
      </c>
      <c r="C18" s="3">
        <f>C4+C9+C9+C13-C16-C15</f>
        <v>-124.18599704306008</v>
      </c>
      <c r="D18" s="3"/>
    </row>
    <row r="19" spans="1:4" ht="12.75">
      <c r="A19" t="s">
        <v>176</v>
      </c>
      <c r="B19" t="s">
        <v>4</v>
      </c>
      <c r="C19" s="3">
        <f>10*LOG(1.3806E-23*(C10+C11)*C14)</f>
        <v>-129.0568962150839</v>
      </c>
      <c r="D19" s="3"/>
    </row>
    <row r="20" spans="1:4" ht="12.75">
      <c r="A20" s="1" t="s">
        <v>12</v>
      </c>
      <c r="B20" s="1" t="s">
        <v>10</v>
      </c>
      <c r="C20" s="19">
        <f>C18-C19</f>
        <v>4.870899172023812</v>
      </c>
      <c r="D20" s="19"/>
    </row>
    <row r="21" spans="1:3" ht="12.75">
      <c r="A21" t="s">
        <v>160</v>
      </c>
      <c r="B21" t="s">
        <v>10</v>
      </c>
      <c r="C21">
        <v>0.9</v>
      </c>
    </row>
    <row r="22" spans="1:4" ht="12.75">
      <c r="A22" t="s">
        <v>171</v>
      </c>
      <c r="B22" t="s">
        <v>10</v>
      </c>
      <c r="C22" s="3">
        <f>C20-C21</f>
        <v>3.970899172023812</v>
      </c>
      <c r="D22" s="3"/>
    </row>
    <row r="28" spans="2:4" ht="12.75">
      <c r="B28" s="1"/>
      <c r="C28" s="1"/>
      <c r="D28" s="1"/>
    </row>
    <row r="29" spans="3:4" ht="12.75">
      <c r="C29" s="3"/>
      <c r="D29" s="3"/>
    </row>
    <row r="30" spans="3:4" ht="12.75">
      <c r="C30" s="2"/>
      <c r="D30" s="2"/>
    </row>
    <row r="31" spans="3:4" ht="12.75">
      <c r="C31" s="4"/>
      <c r="D31" s="4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5"/>
      <c r="D37" s="5"/>
    </row>
    <row r="38" spans="3:4" ht="12.75">
      <c r="C38" s="2"/>
      <c r="D38" s="2"/>
    </row>
    <row r="39" spans="3:4" ht="12.75">
      <c r="C39" s="3"/>
      <c r="D39" s="3"/>
    </row>
    <row r="40" spans="3:4" ht="12.75">
      <c r="C40" s="2"/>
      <c r="D40" s="2"/>
    </row>
    <row r="41" ht="12.75">
      <c r="C41" s="7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A50" sqref="A50"/>
    </sheetView>
  </sheetViews>
  <sheetFormatPr defaultColWidth="9.140625" defaultRowHeight="12.75"/>
  <cols>
    <col min="1" max="1" width="30.57421875" style="0" customWidth="1"/>
    <col min="2" max="2" width="5.421875" style="0" bestFit="1" customWidth="1"/>
    <col min="3" max="3" width="12.28125" style="0" customWidth="1"/>
    <col min="4" max="4" width="11.57421875" style="0" bestFit="1" customWidth="1"/>
    <col min="5" max="5" width="12.8515625" style="0" customWidth="1"/>
    <col min="6" max="6" width="11.00390625" style="0" customWidth="1"/>
  </cols>
  <sheetData>
    <row r="2" ht="12.75">
      <c r="A2" s="1" t="s">
        <v>15</v>
      </c>
    </row>
    <row r="3" spans="2:5" ht="12.75">
      <c r="B3" s="1" t="s">
        <v>3</v>
      </c>
      <c r="C3" s="1" t="s">
        <v>154</v>
      </c>
      <c r="D3" s="1"/>
      <c r="E3" s="1"/>
    </row>
    <row r="4" spans="1:5" ht="12.75">
      <c r="A4" t="s">
        <v>172</v>
      </c>
      <c r="B4" t="s">
        <v>4</v>
      </c>
      <c r="C4" s="3">
        <f>10*LOG(100)</f>
        <v>20</v>
      </c>
      <c r="E4" s="3"/>
    </row>
    <row r="5" spans="1:5" ht="12.75">
      <c r="A5" t="s">
        <v>140</v>
      </c>
      <c r="B5" t="s">
        <v>5</v>
      </c>
      <c r="C5" s="2">
        <v>2250000000</v>
      </c>
      <c r="E5" s="2"/>
    </row>
    <row r="6" spans="1:5" ht="12.75">
      <c r="A6" t="s">
        <v>2</v>
      </c>
      <c r="B6" t="s">
        <v>6</v>
      </c>
      <c r="C6" s="4">
        <f>300000000/C5</f>
        <v>0.13333333333333333</v>
      </c>
      <c r="E6" s="4"/>
    </row>
    <row r="7" spans="1:5" ht="12.75">
      <c r="A7" t="s">
        <v>173</v>
      </c>
      <c r="B7" t="s">
        <v>7</v>
      </c>
      <c r="C7" s="3">
        <v>10</v>
      </c>
      <c r="E7" s="3"/>
    </row>
    <row r="8" spans="1:5" ht="12.75">
      <c r="A8" t="s">
        <v>146</v>
      </c>
      <c r="B8" t="s">
        <v>7</v>
      </c>
      <c r="C8" s="3">
        <v>20</v>
      </c>
      <c r="E8" s="3"/>
    </row>
    <row r="9" spans="1:5" ht="12.75">
      <c r="A9" t="s">
        <v>147</v>
      </c>
      <c r="B9" t="s">
        <v>8</v>
      </c>
      <c r="C9" s="8">
        <v>15</v>
      </c>
      <c r="E9" s="3"/>
    </row>
    <row r="10" spans="1:5" ht="12.75">
      <c r="A10" t="s">
        <v>148</v>
      </c>
      <c r="B10" t="s">
        <v>8</v>
      </c>
      <c r="C10" s="5">
        <v>30</v>
      </c>
      <c r="E10" s="6"/>
    </row>
    <row r="11" spans="1:5" ht="12.75">
      <c r="A11" t="s">
        <v>138</v>
      </c>
      <c r="B11" t="s">
        <v>6</v>
      </c>
      <c r="C11" s="3">
        <f>SQRT(12120000^2-3390000^2)</f>
        <v>11636249.395746037</v>
      </c>
      <c r="E11" s="5"/>
    </row>
    <row r="12" spans="1:5" ht="12.75">
      <c r="A12" t="s">
        <v>149</v>
      </c>
      <c r="B12" t="s">
        <v>10</v>
      </c>
      <c r="C12" s="3">
        <f>-20*LOG(4*PI()*C11/C6)</f>
        <v>-180.80168296346767</v>
      </c>
      <c r="E12" s="3"/>
    </row>
    <row r="13" spans="1:5" ht="12.75">
      <c r="A13" t="s">
        <v>177</v>
      </c>
      <c r="B13" t="s">
        <v>5</v>
      </c>
      <c r="C13" s="2">
        <v>6000000</v>
      </c>
      <c r="E13" s="3"/>
    </row>
    <row r="14" spans="1:5" ht="12.75">
      <c r="A14" t="s">
        <v>151</v>
      </c>
      <c r="B14" t="s">
        <v>10</v>
      </c>
      <c r="C14">
        <v>2</v>
      </c>
      <c r="E14" s="2"/>
    </row>
    <row r="16" spans="1:3" ht="12.75">
      <c r="A16" t="s">
        <v>1</v>
      </c>
      <c r="B16" t="s">
        <v>4</v>
      </c>
      <c r="C16" s="3">
        <f>C4+C7+C8+C12-C14</f>
        <v>-132.80168296346767</v>
      </c>
    </row>
    <row r="17" spans="1:3" ht="12.75">
      <c r="A17" t="s">
        <v>11</v>
      </c>
      <c r="B17" t="s">
        <v>4</v>
      </c>
      <c r="C17" s="3">
        <f>10*LOG(1.3806E-23*(C9+C10)*C13)</f>
        <v>-144.28568366788727</v>
      </c>
    </row>
    <row r="18" spans="1:5" ht="12.75">
      <c r="A18" s="1" t="s">
        <v>12</v>
      </c>
      <c r="B18" s="1" t="s">
        <v>10</v>
      </c>
      <c r="C18" s="19">
        <f>C16-C17</f>
        <v>11.4840007044196</v>
      </c>
      <c r="E18" s="3"/>
    </row>
    <row r="19" spans="1:5" ht="12.75">
      <c r="A19" t="s">
        <v>160</v>
      </c>
      <c r="B19" t="s">
        <v>10</v>
      </c>
      <c r="C19">
        <v>0.9</v>
      </c>
      <c r="E19" s="3"/>
    </row>
    <row r="20" spans="1:5" ht="12.75">
      <c r="A20" t="s">
        <v>171</v>
      </c>
      <c r="B20" t="s">
        <v>10</v>
      </c>
      <c r="C20" s="3">
        <f>C18-C19</f>
        <v>10.5840007044196</v>
      </c>
      <c r="E20" s="3"/>
    </row>
    <row r="26" ht="12.75">
      <c r="A26" s="1" t="s">
        <v>16</v>
      </c>
    </row>
    <row r="27" spans="2:5" ht="12.75">
      <c r="B27" s="1" t="s">
        <v>3</v>
      </c>
      <c r="C27" s="1" t="s">
        <v>154</v>
      </c>
      <c r="D27" s="1"/>
      <c r="E27" s="1"/>
    </row>
    <row r="28" spans="1:5" ht="12.75">
      <c r="A28" t="s">
        <v>172</v>
      </c>
      <c r="B28" t="s">
        <v>4</v>
      </c>
      <c r="C28" s="3">
        <f>10*LOG(20)</f>
        <v>13.010299956639813</v>
      </c>
      <c r="E28" s="3"/>
    </row>
    <row r="29" spans="1:5" ht="12.75">
      <c r="A29" t="s">
        <v>140</v>
      </c>
      <c r="B29" t="s">
        <v>5</v>
      </c>
      <c r="C29" s="2">
        <v>1025000000</v>
      </c>
      <c r="E29" s="2"/>
    </row>
    <row r="30" spans="1:5" ht="12.75">
      <c r="A30" t="s">
        <v>2</v>
      </c>
      <c r="B30" t="s">
        <v>6</v>
      </c>
      <c r="C30" s="4">
        <f>300000000/C29</f>
        <v>0.2926829268292683</v>
      </c>
      <c r="E30" s="4"/>
    </row>
    <row r="31" spans="1:5" ht="12.75">
      <c r="A31" t="s">
        <v>173</v>
      </c>
      <c r="B31" t="s">
        <v>7</v>
      </c>
      <c r="C31" s="3">
        <v>10</v>
      </c>
      <c r="E31" s="3"/>
    </row>
    <row r="32" spans="1:5" ht="12.75">
      <c r="A32" t="s">
        <v>146</v>
      </c>
      <c r="B32" t="s">
        <v>7</v>
      </c>
      <c r="C32" s="22">
        <v>20</v>
      </c>
      <c r="E32" s="3"/>
    </row>
    <row r="33" spans="1:5" ht="12.75">
      <c r="A33" t="s">
        <v>147</v>
      </c>
      <c r="B33" t="s">
        <v>8</v>
      </c>
      <c r="C33" s="8">
        <v>242</v>
      </c>
      <c r="E33" s="9"/>
    </row>
    <row r="34" spans="1:5" ht="12.75">
      <c r="A34" t="s">
        <v>148</v>
      </c>
      <c r="B34" t="s">
        <v>8</v>
      </c>
      <c r="C34" s="5">
        <v>30</v>
      </c>
      <c r="E34" s="9"/>
    </row>
    <row r="35" spans="1:5" ht="12.75">
      <c r="A35" t="s">
        <v>138</v>
      </c>
      <c r="B35" t="s">
        <v>6</v>
      </c>
      <c r="C35" s="3">
        <f>SQRT(12120000^2-3390000^2)</f>
        <v>11636249.395746037</v>
      </c>
      <c r="E35" s="8"/>
    </row>
    <row r="36" spans="1:5" ht="12.75">
      <c r="A36" t="s">
        <v>149</v>
      </c>
      <c r="B36" t="s">
        <v>10</v>
      </c>
      <c r="C36" s="3">
        <f>-20*LOG(4*PI()*C35/C30)</f>
        <v>-173.9725099090759</v>
      </c>
      <c r="E36" s="5"/>
    </row>
    <row r="37" spans="1:5" ht="12.75">
      <c r="A37" t="s">
        <v>177</v>
      </c>
      <c r="B37" t="s">
        <v>5</v>
      </c>
      <c r="C37" s="2">
        <v>3000000</v>
      </c>
      <c r="E37" s="3"/>
    </row>
    <row r="38" spans="1:5" ht="12.75">
      <c r="A38" t="s">
        <v>151</v>
      </c>
      <c r="B38" t="s">
        <v>10</v>
      </c>
      <c r="C38">
        <v>2</v>
      </c>
      <c r="E38" s="3"/>
    </row>
    <row r="39" ht="12.75">
      <c r="E39" s="2"/>
    </row>
    <row r="40" spans="1:3" ht="12.75">
      <c r="A40" t="s">
        <v>1</v>
      </c>
      <c r="B40" t="s">
        <v>4</v>
      </c>
      <c r="C40" s="3">
        <f>C28+C31+C32+C36-C38</f>
        <v>-132.9622099524361</v>
      </c>
    </row>
    <row r="41" spans="1:3" ht="12.75">
      <c r="A41" t="s">
        <v>11</v>
      </c>
      <c r="B41" t="s">
        <v>4</v>
      </c>
      <c r="C41" s="3">
        <f>10*LOG(1.3806E-23*(C33+C34)*C37)</f>
        <v>-139.48241972193853</v>
      </c>
    </row>
    <row r="42" spans="1:3" ht="12.75">
      <c r="A42" s="1" t="s">
        <v>12</v>
      </c>
      <c r="B42" s="1" t="s">
        <v>10</v>
      </c>
      <c r="C42" s="19">
        <f>C40-C41</f>
        <v>6.520209769502429</v>
      </c>
    </row>
    <row r="43" spans="1:5" ht="12.75">
      <c r="A43" t="s">
        <v>160</v>
      </c>
      <c r="B43" t="s">
        <v>10</v>
      </c>
      <c r="C43">
        <v>0.9</v>
      </c>
      <c r="E43" s="3"/>
    </row>
    <row r="44" spans="1:5" ht="12.75">
      <c r="A44" t="s">
        <v>171</v>
      </c>
      <c r="B44" t="s">
        <v>10</v>
      </c>
      <c r="C44" s="3">
        <f>C42-C43</f>
        <v>5.620209769502429</v>
      </c>
      <c r="E44" s="3"/>
    </row>
    <row r="45" ht="12.75">
      <c r="E45" s="3"/>
    </row>
    <row r="49" ht="12.75">
      <c r="G49" s="7"/>
    </row>
  </sheetData>
  <printOptions/>
  <pageMargins left="0.25" right="0.25" top="0.25" bottom="0.25" header="0.25" footer="0.2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2"/>
  <sheetViews>
    <sheetView workbookViewId="0" topLeftCell="A1">
      <selection activeCell="C9" sqref="C9"/>
    </sheetView>
  </sheetViews>
  <sheetFormatPr defaultColWidth="9.140625" defaultRowHeight="12.75"/>
  <cols>
    <col min="1" max="1" width="38.57421875" style="0" customWidth="1"/>
    <col min="2" max="2" width="8.8515625" style="0" customWidth="1"/>
    <col min="3" max="3" width="13.421875" style="11" customWidth="1"/>
    <col min="4" max="4" width="12.00390625" style="0" customWidth="1"/>
    <col min="8" max="8" width="11.421875" style="0" customWidth="1"/>
    <col min="9" max="9" width="9.7109375" style="10" customWidth="1"/>
    <col min="12" max="12" width="0" style="0" hidden="1" customWidth="1"/>
    <col min="13" max="13" width="11.00390625" style="0" hidden="1" customWidth="1"/>
    <col min="14" max="14" width="11.00390625" style="28" hidden="1" customWidth="1"/>
    <col min="15" max="15" width="9.421875" style="28" hidden="1" customWidth="1"/>
    <col min="16" max="17" width="0" style="0" hidden="1" customWidth="1"/>
    <col min="18" max="18" width="13.140625" style="0" hidden="1" customWidth="1"/>
    <col min="19" max="19" width="11.00390625" style="28" hidden="1" customWidth="1"/>
    <col min="20" max="20" width="9.7109375" style="0" hidden="1" customWidth="1"/>
  </cols>
  <sheetData>
    <row r="2" spans="1:20" ht="32.25" customHeight="1">
      <c r="A2" s="1" t="s">
        <v>134</v>
      </c>
      <c r="B2" s="1" t="s">
        <v>3</v>
      </c>
      <c r="C2" s="12" t="s">
        <v>74</v>
      </c>
      <c r="D2" s="1"/>
      <c r="G2" s="27" t="s">
        <v>17</v>
      </c>
      <c r="H2" s="27" t="s">
        <v>191</v>
      </c>
      <c r="I2" s="27"/>
      <c r="L2" s="27" t="s">
        <v>189</v>
      </c>
      <c r="M2" s="27" t="s">
        <v>192</v>
      </c>
      <c r="N2" s="27" t="s">
        <v>191</v>
      </c>
      <c r="O2" s="27" t="s">
        <v>193</v>
      </c>
      <c r="Q2" s="27" t="s">
        <v>190</v>
      </c>
      <c r="R2" s="1" t="s">
        <v>74</v>
      </c>
      <c r="S2" s="27" t="s">
        <v>191</v>
      </c>
      <c r="T2" s="27" t="s">
        <v>193</v>
      </c>
    </row>
    <row r="3" spans="1:20" ht="12.75">
      <c r="A3" t="s">
        <v>128</v>
      </c>
      <c r="B3" t="s">
        <v>5</v>
      </c>
      <c r="C3" s="11">
        <v>1000000000</v>
      </c>
      <c r="D3" s="2"/>
      <c r="G3" t="s">
        <v>78</v>
      </c>
      <c r="H3" s="10">
        <v>802000000</v>
      </c>
      <c r="L3" t="s">
        <v>78</v>
      </c>
      <c r="M3" s="10">
        <v>802000000</v>
      </c>
      <c r="N3" s="28">
        <f>M3/1000000000</f>
        <v>0.802</v>
      </c>
      <c r="O3" s="28">
        <f>N3-0.1</f>
        <v>0.7020000000000001</v>
      </c>
      <c r="Q3" t="s">
        <v>23</v>
      </c>
      <c r="R3" s="11">
        <v>1800000000</v>
      </c>
      <c r="S3" s="28">
        <f>R3/1000000000</f>
        <v>1.8</v>
      </c>
      <c r="T3" s="28">
        <f>S3-0.1</f>
        <v>1.7</v>
      </c>
    </row>
    <row r="4" spans="1:20" ht="12.75">
      <c r="A4" t="s">
        <v>129</v>
      </c>
      <c r="B4" t="s">
        <v>135</v>
      </c>
      <c r="C4" s="11">
        <v>1500000</v>
      </c>
      <c r="D4" s="2"/>
      <c r="G4" t="s">
        <v>79</v>
      </c>
      <c r="H4" s="10">
        <f>H3+$C$8+$C$10</f>
        <v>806500000</v>
      </c>
      <c r="L4" t="s">
        <v>79</v>
      </c>
      <c r="M4" s="10">
        <f aca="true" t="shared" si="0" ref="M4:M52">M3+$C$8+$C$10</f>
        <v>806500000</v>
      </c>
      <c r="N4" s="28">
        <f aca="true" t="shared" si="1" ref="N4:N52">M4/1000000000</f>
        <v>0.8065</v>
      </c>
      <c r="O4" s="28">
        <f aca="true" t="shared" si="2" ref="O4:O52">N4-0.1</f>
        <v>0.7065</v>
      </c>
      <c r="Q4" t="s">
        <v>24</v>
      </c>
      <c r="R4" s="10">
        <f>R3+$C$67+$C$70</f>
        <v>1809000000</v>
      </c>
      <c r="S4" s="28">
        <f aca="true" t="shared" si="3" ref="S4:S52">R4/1000000000</f>
        <v>1.809</v>
      </c>
      <c r="T4" s="28">
        <f aca="true" t="shared" si="4" ref="T4:T52">S4-0.1</f>
        <v>1.7089999999999999</v>
      </c>
    </row>
    <row r="5" spans="1:20" ht="12.75">
      <c r="A5" t="s">
        <v>136</v>
      </c>
      <c r="B5" t="s">
        <v>135</v>
      </c>
      <c r="C5" s="11">
        <f>2*C4</f>
        <v>3000000</v>
      </c>
      <c r="D5" s="2"/>
      <c r="G5" t="s">
        <v>80</v>
      </c>
      <c r="H5" s="10">
        <f>H4+$C$8+$C$10</f>
        <v>811000000</v>
      </c>
      <c r="L5" t="s">
        <v>80</v>
      </c>
      <c r="M5" s="10">
        <f t="shared" si="0"/>
        <v>811000000</v>
      </c>
      <c r="N5" s="28">
        <f t="shared" si="1"/>
        <v>0.811</v>
      </c>
      <c r="O5" s="28">
        <f t="shared" si="2"/>
        <v>0.7110000000000001</v>
      </c>
      <c r="Q5" t="s">
        <v>25</v>
      </c>
      <c r="R5" s="10">
        <f>R4+$C$67+$C$70</f>
        <v>1818000000</v>
      </c>
      <c r="S5" s="28">
        <f t="shared" si="3"/>
        <v>1.818</v>
      </c>
      <c r="T5" s="28">
        <f t="shared" si="4"/>
        <v>1.718</v>
      </c>
    </row>
    <row r="6" spans="1:20" ht="12.75">
      <c r="A6" t="s">
        <v>130</v>
      </c>
      <c r="C6" s="3">
        <v>0.3</v>
      </c>
      <c r="G6" t="s">
        <v>81</v>
      </c>
      <c r="H6" s="10">
        <f>H5+$C$8+$C$10</f>
        <v>815500000</v>
      </c>
      <c r="L6" t="s">
        <v>81</v>
      </c>
      <c r="M6" s="10">
        <f t="shared" si="0"/>
        <v>815500000</v>
      </c>
      <c r="N6" s="28">
        <f t="shared" si="1"/>
        <v>0.8155</v>
      </c>
      <c r="O6" s="28">
        <f t="shared" si="2"/>
        <v>0.7155</v>
      </c>
      <c r="Q6" t="s">
        <v>26</v>
      </c>
      <c r="R6" s="10">
        <f aca="true" t="shared" si="5" ref="R6:R52">R5+$C$67+$C$70</f>
        <v>1827000000</v>
      </c>
      <c r="S6" s="28">
        <f t="shared" si="3"/>
        <v>1.827</v>
      </c>
      <c r="T6" s="28">
        <f t="shared" si="4"/>
        <v>1.7269999999999999</v>
      </c>
    </row>
    <row r="7" spans="1:20" ht="12.75">
      <c r="A7" t="s">
        <v>131</v>
      </c>
      <c r="B7" t="s">
        <v>5</v>
      </c>
      <c r="C7" s="11">
        <f>C5*(1+C6)</f>
        <v>3900000</v>
      </c>
      <c r="D7" s="2"/>
      <c r="G7" t="s">
        <v>82</v>
      </c>
      <c r="H7" s="10">
        <f aca="true" t="shared" si="6" ref="H7:H52">H6+$C$8+$C$10</f>
        <v>820000000</v>
      </c>
      <c r="L7" t="s">
        <v>82</v>
      </c>
      <c r="M7" s="10">
        <f t="shared" si="0"/>
        <v>820000000</v>
      </c>
      <c r="N7" s="28">
        <f t="shared" si="1"/>
        <v>0.82</v>
      </c>
      <c r="O7" s="28">
        <f t="shared" si="2"/>
        <v>0.72</v>
      </c>
      <c r="Q7" t="s">
        <v>27</v>
      </c>
      <c r="R7" s="10">
        <f t="shared" si="5"/>
        <v>1836000000</v>
      </c>
      <c r="S7" s="28">
        <f t="shared" si="3"/>
        <v>1.836</v>
      </c>
      <c r="T7" s="28">
        <f t="shared" si="4"/>
        <v>1.736</v>
      </c>
    </row>
    <row r="8" spans="1:20" ht="12.75">
      <c r="A8" t="s">
        <v>132</v>
      </c>
      <c r="B8" t="s">
        <v>5</v>
      </c>
      <c r="C8" s="11">
        <v>3900000</v>
      </c>
      <c r="D8" s="2"/>
      <c r="G8" t="s">
        <v>83</v>
      </c>
      <c r="H8" s="10">
        <f t="shared" si="6"/>
        <v>824500000</v>
      </c>
      <c r="L8" t="s">
        <v>83</v>
      </c>
      <c r="M8" s="10">
        <f t="shared" si="0"/>
        <v>824500000</v>
      </c>
      <c r="N8" s="28">
        <f t="shared" si="1"/>
        <v>0.8245</v>
      </c>
      <c r="O8" s="28">
        <f t="shared" si="2"/>
        <v>0.7245</v>
      </c>
      <c r="Q8" t="s">
        <v>28</v>
      </c>
      <c r="R8" s="10">
        <f t="shared" si="5"/>
        <v>1845000000</v>
      </c>
      <c r="S8" s="28">
        <f t="shared" si="3"/>
        <v>1.845</v>
      </c>
      <c r="T8" s="28">
        <f t="shared" si="4"/>
        <v>1.7449999999999999</v>
      </c>
    </row>
    <row r="9" spans="1:20" ht="12.75">
      <c r="A9" t="s">
        <v>22</v>
      </c>
      <c r="B9" t="s">
        <v>5</v>
      </c>
      <c r="C9" s="11">
        <f>C7*0.15</f>
        <v>585000</v>
      </c>
      <c r="D9" s="2"/>
      <c r="G9" t="s">
        <v>84</v>
      </c>
      <c r="H9" s="10">
        <f t="shared" si="6"/>
        <v>829000000</v>
      </c>
      <c r="L9" t="s">
        <v>84</v>
      </c>
      <c r="M9" s="10">
        <f t="shared" si="0"/>
        <v>829000000</v>
      </c>
      <c r="N9" s="28">
        <f t="shared" si="1"/>
        <v>0.829</v>
      </c>
      <c r="O9" s="28">
        <f t="shared" si="2"/>
        <v>0.729</v>
      </c>
      <c r="Q9" t="s">
        <v>29</v>
      </c>
      <c r="R9" s="10">
        <f t="shared" si="5"/>
        <v>1854000000</v>
      </c>
      <c r="S9" s="28">
        <f t="shared" si="3"/>
        <v>1.854</v>
      </c>
      <c r="T9" s="28">
        <f t="shared" si="4"/>
        <v>1.754</v>
      </c>
    </row>
    <row r="10" spans="1:20" ht="12.75">
      <c r="A10" t="s">
        <v>75</v>
      </c>
      <c r="B10" t="s">
        <v>5</v>
      </c>
      <c r="C10" s="11">
        <v>600000</v>
      </c>
      <c r="D10" s="2"/>
      <c r="G10" t="s">
        <v>85</v>
      </c>
      <c r="H10" s="10">
        <f t="shared" si="6"/>
        <v>833500000</v>
      </c>
      <c r="L10" t="s">
        <v>85</v>
      </c>
      <c r="M10" s="10">
        <f t="shared" si="0"/>
        <v>833500000</v>
      </c>
      <c r="N10" s="28">
        <f t="shared" si="1"/>
        <v>0.8335</v>
      </c>
      <c r="O10" s="28">
        <f t="shared" si="2"/>
        <v>0.7335</v>
      </c>
      <c r="Q10" t="s">
        <v>30</v>
      </c>
      <c r="R10" s="10">
        <f t="shared" si="5"/>
        <v>1863000000</v>
      </c>
      <c r="S10" s="28">
        <f t="shared" si="3"/>
        <v>1.863</v>
      </c>
      <c r="T10" s="28">
        <f t="shared" si="4"/>
        <v>1.763</v>
      </c>
    </row>
    <row r="11" spans="1:20" ht="12.75">
      <c r="A11" t="s">
        <v>73</v>
      </c>
      <c r="B11" t="s">
        <v>5</v>
      </c>
      <c r="C11" s="11">
        <f>C7+C9</f>
        <v>4485000</v>
      </c>
      <c r="D11" s="2"/>
      <c r="G11" t="s">
        <v>86</v>
      </c>
      <c r="H11" s="10">
        <f t="shared" si="6"/>
        <v>838000000</v>
      </c>
      <c r="L11" t="s">
        <v>86</v>
      </c>
      <c r="M11" s="10">
        <f t="shared" si="0"/>
        <v>838000000</v>
      </c>
      <c r="N11" s="28">
        <f t="shared" si="1"/>
        <v>0.838</v>
      </c>
      <c r="O11" s="28">
        <f t="shared" si="2"/>
        <v>0.738</v>
      </c>
      <c r="Q11" t="s">
        <v>31</v>
      </c>
      <c r="R11" s="10">
        <f t="shared" si="5"/>
        <v>1872000000</v>
      </c>
      <c r="S11" s="28">
        <f t="shared" si="3"/>
        <v>1.872</v>
      </c>
      <c r="T11" s="28">
        <f t="shared" si="4"/>
        <v>1.772</v>
      </c>
    </row>
    <row r="12" spans="1:20" ht="12.75">
      <c r="A12" t="s">
        <v>76</v>
      </c>
      <c r="B12" t="s">
        <v>5</v>
      </c>
      <c r="C12" s="11">
        <f>C7+C10</f>
        <v>4500000</v>
      </c>
      <c r="G12" t="s">
        <v>87</v>
      </c>
      <c r="H12" s="10">
        <f t="shared" si="6"/>
        <v>842500000</v>
      </c>
      <c r="L12" t="s">
        <v>87</v>
      </c>
      <c r="M12" s="10">
        <f t="shared" si="0"/>
        <v>842500000</v>
      </c>
      <c r="N12" s="28">
        <f t="shared" si="1"/>
        <v>0.8425</v>
      </c>
      <c r="O12" s="28">
        <f t="shared" si="2"/>
        <v>0.7425</v>
      </c>
      <c r="Q12" t="s">
        <v>32</v>
      </c>
      <c r="R12" s="10">
        <f t="shared" si="5"/>
        <v>1881000000</v>
      </c>
      <c r="S12" s="28">
        <f t="shared" si="3"/>
        <v>1.881</v>
      </c>
      <c r="T12" s="28">
        <f t="shared" si="4"/>
        <v>1.781</v>
      </c>
    </row>
    <row r="13" spans="7:20" ht="12.75">
      <c r="G13" t="s">
        <v>88</v>
      </c>
      <c r="H13" s="10">
        <f t="shared" si="6"/>
        <v>847000000</v>
      </c>
      <c r="L13" t="s">
        <v>88</v>
      </c>
      <c r="M13" s="10">
        <f t="shared" si="0"/>
        <v>847000000</v>
      </c>
      <c r="N13" s="28">
        <f t="shared" si="1"/>
        <v>0.847</v>
      </c>
      <c r="O13" s="28">
        <f t="shared" si="2"/>
        <v>0.747</v>
      </c>
      <c r="Q13" t="s">
        <v>33</v>
      </c>
      <c r="R13" s="10">
        <f t="shared" si="5"/>
        <v>1890000000</v>
      </c>
      <c r="S13" s="28">
        <f t="shared" si="3"/>
        <v>1.89</v>
      </c>
      <c r="T13" s="28">
        <f t="shared" si="4"/>
        <v>1.7899999999999998</v>
      </c>
    </row>
    <row r="14" spans="7:20" ht="12.75">
      <c r="G14" t="s">
        <v>89</v>
      </c>
      <c r="H14" s="10">
        <f t="shared" si="6"/>
        <v>851500000</v>
      </c>
      <c r="L14" t="s">
        <v>89</v>
      </c>
      <c r="M14" s="10">
        <f t="shared" si="0"/>
        <v>851500000</v>
      </c>
      <c r="N14" s="28">
        <f t="shared" si="1"/>
        <v>0.8515</v>
      </c>
      <c r="O14" s="28">
        <f t="shared" si="2"/>
        <v>0.7515000000000001</v>
      </c>
      <c r="Q14" t="s">
        <v>34</v>
      </c>
      <c r="R14" s="10">
        <f t="shared" si="5"/>
        <v>1899000000</v>
      </c>
      <c r="S14" s="28">
        <f t="shared" si="3"/>
        <v>1.899</v>
      </c>
      <c r="T14" s="28">
        <f t="shared" si="4"/>
        <v>1.799</v>
      </c>
    </row>
    <row r="15" spans="7:20" ht="12.75">
      <c r="G15" t="s">
        <v>90</v>
      </c>
      <c r="H15" s="10">
        <f t="shared" si="6"/>
        <v>856000000</v>
      </c>
      <c r="L15" t="s">
        <v>90</v>
      </c>
      <c r="M15" s="10">
        <f t="shared" si="0"/>
        <v>856000000</v>
      </c>
      <c r="N15" s="28">
        <f t="shared" si="1"/>
        <v>0.856</v>
      </c>
      <c r="O15" s="28">
        <f t="shared" si="2"/>
        <v>0.756</v>
      </c>
      <c r="Q15" t="s">
        <v>35</v>
      </c>
      <c r="R15" s="10">
        <f t="shared" si="5"/>
        <v>1908000000</v>
      </c>
      <c r="S15" s="28">
        <f t="shared" si="3"/>
        <v>1.908</v>
      </c>
      <c r="T15" s="28">
        <f t="shared" si="4"/>
        <v>1.8079999999999998</v>
      </c>
    </row>
    <row r="16" spans="7:20" ht="12.75">
      <c r="G16" t="s">
        <v>91</v>
      </c>
      <c r="H16" s="10">
        <f t="shared" si="6"/>
        <v>860500000</v>
      </c>
      <c r="L16" t="s">
        <v>91</v>
      </c>
      <c r="M16" s="10">
        <f t="shared" si="0"/>
        <v>860500000</v>
      </c>
      <c r="N16" s="28">
        <f t="shared" si="1"/>
        <v>0.8605</v>
      </c>
      <c r="O16" s="28">
        <f t="shared" si="2"/>
        <v>0.7605000000000001</v>
      </c>
      <c r="Q16" t="s">
        <v>36</v>
      </c>
      <c r="R16" s="10">
        <f t="shared" si="5"/>
        <v>1917000000</v>
      </c>
      <c r="S16" s="28">
        <f t="shared" si="3"/>
        <v>1.917</v>
      </c>
      <c r="T16" s="28">
        <f t="shared" si="4"/>
        <v>1.817</v>
      </c>
    </row>
    <row r="17" spans="7:20" ht="12.75">
      <c r="G17" t="s">
        <v>92</v>
      </c>
      <c r="H17" s="10">
        <f t="shared" si="6"/>
        <v>865000000</v>
      </c>
      <c r="L17" t="s">
        <v>92</v>
      </c>
      <c r="M17" s="10">
        <f t="shared" si="0"/>
        <v>865000000</v>
      </c>
      <c r="N17" s="28">
        <f t="shared" si="1"/>
        <v>0.865</v>
      </c>
      <c r="O17" s="28">
        <f t="shared" si="2"/>
        <v>0.765</v>
      </c>
      <c r="Q17" t="s">
        <v>37</v>
      </c>
      <c r="R17" s="10">
        <f t="shared" si="5"/>
        <v>1926000000</v>
      </c>
      <c r="S17" s="28">
        <f t="shared" si="3"/>
        <v>1.926</v>
      </c>
      <c r="T17" s="28">
        <f t="shared" si="4"/>
        <v>1.8259999999999998</v>
      </c>
    </row>
    <row r="18" spans="7:20" ht="12.75">
      <c r="G18" t="s">
        <v>93</v>
      </c>
      <c r="H18" s="10">
        <f t="shared" si="6"/>
        <v>869500000</v>
      </c>
      <c r="L18" t="s">
        <v>93</v>
      </c>
      <c r="M18" s="10">
        <f t="shared" si="0"/>
        <v>869500000</v>
      </c>
      <c r="N18" s="28">
        <f t="shared" si="1"/>
        <v>0.8695</v>
      </c>
      <c r="O18" s="28">
        <f t="shared" si="2"/>
        <v>0.7695000000000001</v>
      </c>
      <c r="Q18" t="s">
        <v>38</v>
      </c>
      <c r="R18" s="10">
        <f t="shared" si="5"/>
        <v>1935000000</v>
      </c>
      <c r="S18" s="28">
        <f t="shared" si="3"/>
        <v>1.935</v>
      </c>
      <c r="T18" s="28">
        <f t="shared" si="4"/>
        <v>1.835</v>
      </c>
    </row>
    <row r="19" spans="7:20" ht="12.75">
      <c r="G19" t="s">
        <v>94</v>
      </c>
      <c r="H19" s="10">
        <f t="shared" si="6"/>
        <v>874000000</v>
      </c>
      <c r="L19" t="s">
        <v>94</v>
      </c>
      <c r="M19" s="10">
        <f t="shared" si="0"/>
        <v>874000000</v>
      </c>
      <c r="N19" s="28">
        <f t="shared" si="1"/>
        <v>0.874</v>
      </c>
      <c r="O19" s="28">
        <f t="shared" si="2"/>
        <v>0.774</v>
      </c>
      <c r="Q19" t="s">
        <v>39</v>
      </c>
      <c r="R19" s="10">
        <f t="shared" si="5"/>
        <v>1944000000</v>
      </c>
      <c r="S19" s="28">
        <f t="shared" si="3"/>
        <v>1.944</v>
      </c>
      <c r="T19" s="28">
        <f t="shared" si="4"/>
        <v>1.8439999999999999</v>
      </c>
    </row>
    <row r="20" spans="7:20" ht="12.75">
      <c r="G20" t="s">
        <v>95</v>
      </c>
      <c r="H20" s="10">
        <f t="shared" si="6"/>
        <v>878500000</v>
      </c>
      <c r="L20" t="s">
        <v>95</v>
      </c>
      <c r="M20" s="10">
        <f t="shared" si="0"/>
        <v>878500000</v>
      </c>
      <c r="N20" s="28">
        <f t="shared" si="1"/>
        <v>0.8785</v>
      </c>
      <c r="O20" s="28">
        <f t="shared" si="2"/>
        <v>0.7785</v>
      </c>
      <c r="Q20" t="s">
        <v>40</v>
      </c>
      <c r="R20" s="10">
        <f t="shared" si="5"/>
        <v>1953000000</v>
      </c>
      <c r="S20" s="28">
        <f t="shared" si="3"/>
        <v>1.953</v>
      </c>
      <c r="T20" s="28">
        <f t="shared" si="4"/>
        <v>1.853</v>
      </c>
    </row>
    <row r="21" spans="7:20" ht="12.75">
      <c r="G21" t="s">
        <v>96</v>
      </c>
      <c r="H21" s="10">
        <f t="shared" si="6"/>
        <v>883000000</v>
      </c>
      <c r="L21" t="s">
        <v>96</v>
      </c>
      <c r="M21" s="10">
        <f t="shared" si="0"/>
        <v>883000000</v>
      </c>
      <c r="N21" s="28">
        <f t="shared" si="1"/>
        <v>0.883</v>
      </c>
      <c r="O21" s="28">
        <f t="shared" si="2"/>
        <v>0.783</v>
      </c>
      <c r="Q21" t="s">
        <v>41</v>
      </c>
      <c r="R21" s="10">
        <f t="shared" si="5"/>
        <v>1962000000</v>
      </c>
      <c r="S21" s="28">
        <f t="shared" si="3"/>
        <v>1.962</v>
      </c>
      <c r="T21" s="28">
        <f t="shared" si="4"/>
        <v>1.8619999999999999</v>
      </c>
    </row>
    <row r="22" spans="7:20" ht="12.75">
      <c r="G22" t="s">
        <v>97</v>
      </c>
      <c r="H22" s="10">
        <f t="shared" si="6"/>
        <v>887500000</v>
      </c>
      <c r="L22" t="s">
        <v>97</v>
      </c>
      <c r="M22" s="10">
        <f t="shared" si="0"/>
        <v>887500000</v>
      </c>
      <c r="N22" s="28">
        <f t="shared" si="1"/>
        <v>0.8875</v>
      </c>
      <c r="O22" s="28">
        <f t="shared" si="2"/>
        <v>0.7875</v>
      </c>
      <c r="Q22" t="s">
        <v>42</v>
      </c>
      <c r="R22" s="10">
        <f t="shared" si="5"/>
        <v>1971000000</v>
      </c>
      <c r="S22" s="28">
        <f t="shared" si="3"/>
        <v>1.971</v>
      </c>
      <c r="T22" s="28">
        <f t="shared" si="4"/>
        <v>1.871</v>
      </c>
    </row>
    <row r="23" spans="7:20" ht="12.75">
      <c r="G23" t="s">
        <v>98</v>
      </c>
      <c r="H23" s="10">
        <f t="shared" si="6"/>
        <v>892000000</v>
      </c>
      <c r="L23" t="s">
        <v>98</v>
      </c>
      <c r="M23" s="10">
        <f t="shared" si="0"/>
        <v>892000000</v>
      </c>
      <c r="N23" s="28">
        <f t="shared" si="1"/>
        <v>0.892</v>
      </c>
      <c r="O23" s="28">
        <f t="shared" si="2"/>
        <v>0.792</v>
      </c>
      <c r="Q23" t="s">
        <v>43</v>
      </c>
      <c r="R23" s="10">
        <f t="shared" si="5"/>
        <v>1980000000</v>
      </c>
      <c r="S23" s="28">
        <f t="shared" si="3"/>
        <v>1.98</v>
      </c>
      <c r="T23" s="28">
        <f t="shared" si="4"/>
        <v>1.88</v>
      </c>
    </row>
    <row r="24" spans="7:20" ht="12.75">
      <c r="G24" t="s">
        <v>99</v>
      </c>
      <c r="H24" s="10">
        <f t="shared" si="6"/>
        <v>896500000</v>
      </c>
      <c r="L24" t="s">
        <v>99</v>
      </c>
      <c r="M24" s="10">
        <f t="shared" si="0"/>
        <v>896500000</v>
      </c>
      <c r="N24" s="28">
        <f t="shared" si="1"/>
        <v>0.8965</v>
      </c>
      <c r="O24" s="28">
        <f t="shared" si="2"/>
        <v>0.7965</v>
      </c>
      <c r="Q24" t="s">
        <v>44</v>
      </c>
      <c r="R24" s="10">
        <f t="shared" si="5"/>
        <v>1989000000</v>
      </c>
      <c r="S24" s="28">
        <f t="shared" si="3"/>
        <v>1.989</v>
      </c>
      <c r="T24" s="28">
        <f t="shared" si="4"/>
        <v>1.889</v>
      </c>
    </row>
    <row r="25" spans="7:20" ht="12.75">
      <c r="G25" t="s">
        <v>100</v>
      </c>
      <c r="H25" s="10">
        <f t="shared" si="6"/>
        <v>901000000</v>
      </c>
      <c r="L25" t="s">
        <v>100</v>
      </c>
      <c r="M25" s="10">
        <f t="shared" si="0"/>
        <v>901000000</v>
      </c>
      <c r="N25" s="28">
        <f t="shared" si="1"/>
        <v>0.901</v>
      </c>
      <c r="O25" s="28">
        <f t="shared" si="2"/>
        <v>0.801</v>
      </c>
      <c r="Q25" t="s">
        <v>45</v>
      </c>
      <c r="R25" s="10">
        <f t="shared" si="5"/>
        <v>1998000000</v>
      </c>
      <c r="S25" s="28">
        <f t="shared" si="3"/>
        <v>1.998</v>
      </c>
      <c r="T25" s="28">
        <f t="shared" si="4"/>
        <v>1.898</v>
      </c>
    </row>
    <row r="26" spans="7:20" ht="12.75">
      <c r="G26" t="s">
        <v>101</v>
      </c>
      <c r="H26" s="10">
        <f t="shared" si="6"/>
        <v>905500000</v>
      </c>
      <c r="L26" t="s">
        <v>101</v>
      </c>
      <c r="M26" s="10">
        <f t="shared" si="0"/>
        <v>905500000</v>
      </c>
      <c r="N26" s="28">
        <f t="shared" si="1"/>
        <v>0.9055</v>
      </c>
      <c r="O26" s="28">
        <f t="shared" si="2"/>
        <v>0.8055</v>
      </c>
      <c r="Q26" t="s">
        <v>46</v>
      </c>
      <c r="R26" s="10">
        <f t="shared" si="5"/>
        <v>2007000000</v>
      </c>
      <c r="S26" s="28">
        <f t="shared" si="3"/>
        <v>2.007</v>
      </c>
      <c r="T26" s="28">
        <f t="shared" si="4"/>
        <v>1.907</v>
      </c>
    </row>
    <row r="27" spans="7:20" ht="12.75">
      <c r="G27" t="s">
        <v>102</v>
      </c>
      <c r="H27" s="10">
        <f t="shared" si="6"/>
        <v>910000000</v>
      </c>
      <c r="L27" t="s">
        <v>102</v>
      </c>
      <c r="M27" s="10">
        <f t="shared" si="0"/>
        <v>910000000</v>
      </c>
      <c r="N27" s="28">
        <f t="shared" si="1"/>
        <v>0.91</v>
      </c>
      <c r="O27" s="28">
        <f t="shared" si="2"/>
        <v>0.81</v>
      </c>
      <c r="Q27" t="s">
        <v>47</v>
      </c>
      <c r="R27" s="10">
        <f t="shared" si="5"/>
        <v>2016000000</v>
      </c>
      <c r="S27" s="28">
        <f t="shared" si="3"/>
        <v>2.016</v>
      </c>
      <c r="T27" s="28">
        <f t="shared" si="4"/>
        <v>1.916</v>
      </c>
    </row>
    <row r="28" spans="7:20" ht="12.75">
      <c r="G28" t="s">
        <v>103</v>
      </c>
      <c r="H28" s="10">
        <f t="shared" si="6"/>
        <v>914500000</v>
      </c>
      <c r="L28" t="s">
        <v>103</v>
      </c>
      <c r="M28" s="10">
        <f t="shared" si="0"/>
        <v>914500000</v>
      </c>
      <c r="N28" s="28">
        <f t="shared" si="1"/>
        <v>0.9145</v>
      </c>
      <c r="O28" s="28">
        <f t="shared" si="2"/>
        <v>0.8145</v>
      </c>
      <c r="Q28" t="s">
        <v>48</v>
      </c>
      <c r="R28" s="10">
        <f t="shared" si="5"/>
        <v>2025000000</v>
      </c>
      <c r="S28" s="28">
        <f t="shared" si="3"/>
        <v>2.025</v>
      </c>
      <c r="T28" s="28">
        <f t="shared" si="4"/>
        <v>1.9249999999999998</v>
      </c>
    </row>
    <row r="29" spans="7:20" ht="12.75">
      <c r="G29" t="s">
        <v>104</v>
      </c>
      <c r="H29" s="10">
        <f t="shared" si="6"/>
        <v>919000000</v>
      </c>
      <c r="L29" t="s">
        <v>104</v>
      </c>
      <c r="M29" s="10">
        <f t="shared" si="0"/>
        <v>919000000</v>
      </c>
      <c r="N29" s="28">
        <f t="shared" si="1"/>
        <v>0.919</v>
      </c>
      <c r="O29" s="28">
        <f t="shared" si="2"/>
        <v>0.8190000000000001</v>
      </c>
      <c r="Q29" t="s">
        <v>49</v>
      </c>
      <c r="R29" s="10">
        <f t="shared" si="5"/>
        <v>2034000000</v>
      </c>
      <c r="S29" s="28">
        <f t="shared" si="3"/>
        <v>2.034</v>
      </c>
      <c r="T29" s="28">
        <f t="shared" si="4"/>
        <v>1.9339999999999997</v>
      </c>
    </row>
    <row r="30" spans="7:20" ht="12.75">
      <c r="G30" t="s">
        <v>105</v>
      </c>
      <c r="H30" s="10">
        <f t="shared" si="6"/>
        <v>923500000</v>
      </c>
      <c r="L30" t="s">
        <v>105</v>
      </c>
      <c r="M30" s="10">
        <f t="shared" si="0"/>
        <v>923500000</v>
      </c>
      <c r="N30" s="28">
        <f t="shared" si="1"/>
        <v>0.9235</v>
      </c>
      <c r="O30" s="28">
        <f t="shared" si="2"/>
        <v>0.8235</v>
      </c>
      <c r="Q30" t="s">
        <v>50</v>
      </c>
      <c r="R30" s="10">
        <f t="shared" si="5"/>
        <v>2043000000</v>
      </c>
      <c r="S30" s="28">
        <f t="shared" si="3"/>
        <v>2.043</v>
      </c>
      <c r="T30" s="28">
        <f t="shared" si="4"/>
        <v>1.943</v>
      </c>
    </row>
    <row r="31" spans="7:20" ht="12.75">
      <c r="G31" t="s">
        <v>106</v>
      </c>
      <c r="H31" s="10">
        <f t="shared" si="6"/>
        <v>928000000</v>
      </c>
      <c r="L31" t="s">
        <v>106</v>
      </c>
      <c r="M31" s="10">
        <f t="shared" si="0"/>
        <v>928000000</v>
      </c>
      <c r="N31" s="28">
        <f t="shared" si="1"/>
        <v>0.928</v>
      </c>
      <c r="O31" s="28">
        <f t="shared" si="2"/>
        <v>0.8280000000000001</v>
      </c>
      <c r="Q31" t="s">
        <v>51</v>
      </c>
      <c r="R31" s="10">
        <f t="shared" si="5"/>
        <v>2052000000</v>
      </c>
      <c r="S31" s="28">
        <f t="shared" si="3"/>
        <v>2.052</v>
      </c>
      <c r="T31" s="28">
        <f t="shared" si="4"/>
        <v>1.952</v>
      </c>
    </row>
    <row r="32" spans="7:20" ht="12.75">
      <c r="G32" t="s">
        <v>107</v>
      </c>
      <c r="H32" s="10">
        <f t="shared" si="6"/>
        <v>932500000</v>
      </c>
      <c r="L32" t="s">
        <v>107</v>
      </c>
      <c r="M32" s="10">
        <f t="shared" si="0"/>
        <v>932500000</v>
      </c>
      <c r="N32" s="28">
        <f t="shared" si="1"/>
        <v>0.9325</v>
      </c>
      <c r="O32" s="28">
        <f t="shared" si="2"/>
        <v>0.8325</v>
      </c>
      <c r="Q32" t="s">
        <v>52</v>
      </c>
      <c r="R32" s="10">
        <f t="shared" si="5"/>
        <v>2061000000</v>
      </c>
      <c r="S32" s="28">
        <f t="shared" si="3"/>
        <v>2.061</v>
      </c>
      <c r="T32" s="28">
        <f t="shared" si="4"/>
        <v>1.9609999999999999</v>
      </c>
    </row>
    <row r="33" spans="7:20" ht="12.75">
      <c r="G33" t="s">
        <v>108</v>
      </c>
      <c r="H33" s="10">
        <f t="shared" si="6"/>
        <v>937000000</v>
      </c>
      <c r="L33" t="s">
        <v>108</v>
      </c>
      <c r="M33" s="10">
        <f t="shared" si="0"/>
        <v>937000000</v>
      </c>
      <c r="N33" s="28">
        <f t="shared" si="1"/>
        <v>0.937</v>
      </c>
      <c r="O33" s="28">
        <f t="shared" si="2"/>
        <v>0.8370000000000001</v>
      </c>
      <c r="Q33" t="s">
        <v>53</v>
      </c>
      <c r="R33" s="10">
        <f t="shared" si="5"/>
        <v>2070000000</v>
      </c>
      <c r="S33" s="28">
        <f t="shared" si="3"/>
        <v>2.07</v>
      </c>
      <c r="T33" s="28">
        <f t="shared" si="4"/>
        <v>1.9699999999999998</v>
      </c>
    </row>
    <row r="34" spans="7:20" ht="12.75">
      <c r="G34" t="s">
        <v>109</v>
      </c>
      <c r="H34" s="10">
        <f t="shared" si="6"/>
        <v>941500000</v>
      </c>
      <c r="L34" t="s">
        <v>109</v>
      </c>
      <c r="M34" s="10">
        <f t="shared" si="0"/>
        <v>941500000</v>
      </c>
      <c r="N34" s="28">
        <f t="shared" si="1"/>
        <v>0.9415</v>
      </c>
      <c r="O34" s="28">
        <f t="shared" si="2"/>
        <v>0.8415</v>
      </c>
      <c r="Q34" t="s">
        <v>54</v>
      </c>
      <c r="R34" s="10">
        <f t="shared" si="5"/>
        <v>2079000000</v>
      </c>
      <c r="S34" s="28">
        <f t="shared" si="3"/>
        <v>2.079</v>
      </c>
      <c r="T34" s="28">
        <f t="shared" si="4"/>
        <v>1.979</v>
      </c>
    </row>
    <row r="35" spans="7:20" ht="12.75">
      <c r="G35" t="s">
        <v>110</v>
      </c>
      <c r="H35" s="10">
        <f t="shared" si="6"/>
        <v>946000000</v>
      </c>
      <c r="L35" t="s">
        <v>110</v>
      </c>
      <c r="M35" s="10">
        <f t="shared" si="0"/>
        <v>946000000</v>
      </c>
      <c r="N35" s="28">
        <f t="shared" si="1"/>
        <v>0.946</v>
      </c>
      <c r="O35" s="28">
        <f t="shared" si="2"/>
        <v>0.846</v>
      </c>
      <c r="Q35" t="s">
        <v>55</v>
      </c>
      <c r="R35" s="10">
        <f t="shared" si="5"/>
        <v>2088000000</v>
      </c>
      <c r="S35" s="28">
        <f t="shared" si="3"/>
        <v>2.088</v>
      </c>
      <c r="T35" s="28">
        <f t="shared" si="4"/>
        <v>1.988</v>
      </c>
    </row>
    <row r="36" spans="7:20" ht="12.75">
      <c r="G36" t="s">
        <v>111</v>
      </c>
      <c r="H36" s="10">
        <f t="shared" si="6"/>
        <v>950500000</v>
      </c>
      <c r="L36" t="s">
        <v>111</v>
      </c>
      <c r="M36" s="10">
        <f t="shared" si="0"/>
        <v>950500000</v>
      </c>
      <c r="N36" s="28">
        <f t="shared" si="1"/>
        <v>0.9505</v>
      </c>
      <c r="O36" s="28">
        <f t="shared" si="2"/>
        <v>0.8505</v>
      </c>
      <c r="Q36" t="s">
        <v>56</v>
      </c>
      <c r="R36" s="10">
        <f t="shared" si="5"/>
        <v>2097000000</v>
      </c>
      <c r="S36" s="28">
        <f t="shared" si="3"/>
        <v>2.097</v>
      </c>
      <c r="T36" s="28">
        <f t="shared" si="4"/>
        <v>1.9969999999999999</v>
      </c>
    </row>
    <row r="37" spans="7:20" ht="12.75">
      <c r="G37" t="s">
        <v>112</v>
      </c>
      <c r="H37" s="10">
        <f t="shared" si="6"/>
        <v>955000000</v>
      </c>
      <c r="L37" t="s">
        <v>112</v>
      </c>
      <c r="M37" s="10">
        <f t="shared" si="0"/>
        <v>955000000</v>
      </c>
      <c r="N37" s="28">
        <f t="shared" si="1"/>
        <v>0.955</v>
      </c>
      <c r="O37" s="28">
        <f t="shared" si="2"/>
        <v>0.855</v>
      </c>
      <c r="Q37" t="s">
        <v>57</v>
      </c>
      <c r="R37" s="10">
        <f t="shared" si="5"/>
        <v>2106000000</v>
      </c>
      <c r="S37" s="28">
        <f t="shared" si="3"/>
        <v>2.106</v>
      </c>
      <c r="T37" s="28">
        <f t="shared" si="4"/>
        <v>2.006</v>
      </c>
    </row>
    <row r="38" spans="7:20" ht="12.75">
      <c r="G38" t="s">
        <v>113</v>
      </c>
      <c r="H38" s="10">
        <f t="shared" si="6"/>
        <v>959500000</v>
      </c>
      <c r="L38" t="s">
        <v>113</v>
      </c>
      <c r="M38" s="10">
        <f t="shared" si="0"/>
        <v>959500000</v>
      </c>
      <c r="N38" s="28">
        <f t="shared" si="1"/>
        <v>0.9595</v>
      </c>
      <c r="O38" s="28">
        <f t="shared" si="2"/>
        <v>0.8595</v>
      </c>
      <c r="Q38" t="s">
        <v>58</v>
      </c>
      <c r="R38" s="10">
        <f t="shared" si="5"/>
        <v>2115000000</v>
      </c>
      <c r="S38" s="28">
        <f t="shared" si="3"/>
        <v>2.115</v>
      </c>
      <c r="T38" s="28">
        <f t="shared" si="4"/>
        <v>2.015</v>
      </c>
    </row>
    <row r="39" spans="7:20" ht="12.75">
      <c r="G39" t="s">
        <v>114</v>
      </c>
      <c r="H39" s="10">
        <f t="shared" si="6"/>
        <v>964000000</v>
      </c>
      <c r="L39" t="s">
        <v>114</v>
      </c>
      <c r="M39" s="10">
        <f t="shared" si="0"/>
        <v>964000000</v>
      </c>
      <c r="N39" s="28">
        <f t="shared" si="1"/>
        <v>0.964</v>
      </c>
      <c r="O39" s="28">
        <f t="shared" si="2"/>
        <v>0.864</v>
      </c>
      <c r="Q39" t="s">
        <v>59</v>
      </c>
      <c r="R39" s="10">
        <f t="shared" si="5"/>
        <v>2124000000</v>
      </c>
      <c r="S39" s="28">
        <f t="shared" si="3"/>
        <v>2.124</v>
      </c>
      <c r="T39" s="28">
        <f t="shared" si="4"/>
        <v>2.024</v>
      </c>
    </row>
    <row r="40" spans="7:20" ht="12.75">
      <c r="G40" t="s">
        <v>115</v>
      </c>
      <c r="H40" s="10">
        <f t="shared" si="6"/>
        <v>968500000</v>
      </c>
      <c r="L40" t="s">
        <v>115</v>
      </c>
      <c r="M40" s="10">
        <f t="shared" si="0"/>
        <v>968500000</v>
      </c>
      <c r="N40" s="28">
        <f t="shared" si="1"/>
        <v>0.9685</v>
      </c>
      <c r="O40" s="28">
        <f t="shared" si="2"/>
        <v>0.8685</v>
      </c>
      <c r="Q40" t="s">
        <v>60</v>
      </c>
      <c r="R40" s="10">
        <f t="shared" si="5"/>
        <v>2133000000</v>
      </c>
      <c r="S40" s="28">
        <f t="shared" si="3"/>
        <v>2.133</v>
      </c>
      <c r="T40" s="28">
        <f t="shared" si="4"/>
        <v>2.033</v>
      </c>
    </row>
    <row r="41" spans="7:20" ht="12.75">
      <c r="G41" t="s">
        <v>116</v>
      </c>
      <c r="H41" s="10">
        <f t="shared" si="6"/>
        <v>973000000</v>
      </c>
      <c r="L41" t="s">
        <v>116</v>
      </c>
      <c r="M41" s="10">
        <f t="shared" si="0"/>
        <v>973000000</v>
      </c>
      <c r="N41" s="28">
        <f t="shared" si="1"/>
        <v>0.973</v>
      </c>
      <c r="O41" s="28">
        <f t="shared" si="2"/>
        <v>0.873</v>
      </c>
      <c r="Q41" t="s">
        <v>61</v>
      </c>
      <c r="R41" s="10">
        <f t="shared" si="5"/>
        <v>2142000000</v>
      </c>
      <c r="S41" s="28">
        <f t="shared" si="3"/>
        <v>2.142</v>
      </c>
      <c r="T41" s="28">
        <f t="shared" si="4"/>
        <v>2.042</v>
      </c>
    </row>
    <row r="42" spans="7:20" ht="12.75">
      <c r="G42" t="s">
        <v>117</v>
      </c>
      <c r="H42" s="10">
        <f t="shared" si="6"/>
        <v>977500000</v>
      </c>
      <c r="L42" t="s">
        <v>117</v>
      </c>
      <c r="M42" s="10">
        <f t="shared" si="0"/>
        <v>977500000</v>
      </c>
      <c r="N42" s="28">
        <f t="shared" si="1"/>
        <v>0.9775</v>
      </c>
      <c r="O42" s="28">
        <f t="shared" si="2"/>
        <v>0.8775000000000001</v>
      </c>
      <c r="Q42" t="s">
        <v>62</v>
      </c>
      <c r="R42" s="10">
        <f t="shared" si="5"/>
        <v>2151000000</v>
      </c>
      <c r="S42" s="28">
        <f t="shared" si="3"/>
        <v>2.151</v>
      </c>
      <c r="T42" s="28">
        <f t="shared" si="4"/>
        <v>2.0509999999999997</v>
      </c>
    </row>
    <row r="43" spans="7:20" ht="12.75">
      <c r="G43" t="s">
        <v>118</v>
      </c>
      <c r="H43" s="10">
        <f t="shared" si="6"/>
        <v>982000000</v>
      </c>
      <c r="L43" t="s">
        <v>118</v>
      </c>
      <c r="M43" s="10">
        <f t="shared" si="0"/>
        <v>982000000</v>
      </c>
      <c r="N43" s="28">
        <f t="shared" si="1"/>
        <v>0.982</v>
      </c>
      <c r="O43" s="28">
        <f t="shared" si="2"/>
        <v>0.882</v>
      </c>
      <c r="Q43" t="s">
        <v>63</v>
      </c>
      <c r="R43" s="10">
        <f t="shared" si="5"/>
        <v>2160000000</v>
      </c>
      <c r="S43" s="28">
        <f t="shared" si="3"/>
        <v>2.16</v>
      </c>
      <c r="T43" s="28">
        <f t="shared" si="4"/>
        <v>2.06</v>
      </c>
    </row>
    <row r="44" spans="7:20" ht="12.75">
      <c r="G44" t="s">
        <v>119</v>
      </c>
      <c r="H44" s="10">
        <f t="shared" si="6"/>
        <v>986500000</v>
      </c>
      <c r="L44" t="s">
        <v>119</v>
      </c>
      <c r="M44" s="10">
        <f t="shared" si="0"/>
        <v>986500000</v>
      </c>
      <c r="N44" s="28">
        <f t="shared" si="1"/>
        <v>0.9865</v>
      </c>
      <c r="O44" s="28">
        <f t="shared" si="2"/>
        <v>0.8865000000000001</v>
      </c>
      <c r="Q44" t="s">
        <v>64</v>
      </c>
      <c r="R44" s="10">
        <f t="shared" si="5"/>
        <v>2169000000</v>
      </c>
      <c r="S44" s="28">
        <f t="shared" si="3"/>
        <v>2.169</v>
      </c>
      <c r="T44" s="28">
        <f t="shared" si="4"/>
        <v>2.069</v>
      </c>
    </row>
    <row r="45" spans="7:20" ht="12.75">
      <c r="G45" t="s">
        <v>120</v>
      </c>
      <c r="H45" s="10">
        <f t="shared" si="6"/>
        <v>991000000</v>
      </c>
      <c r="L45" t="s">
        <v>120</v>
      </c>
      <c r="M45" s="10">
        <f t="shared" si="0"/>
        <v>991000000</v>
      </c>
      <c r="N45" s="28">
        <f t="shared" si="1"/>
        <v>0.991</v>
      </c>
      <c r="O45" s="28">
        <f t="shared" si="2"/>
        <v>0.891</v>
      </c>
      <c r="Q45" t="s">
        <v>65</v>
      </c>
      <c r="R45" s="10">
        <f t="shared" si="5"/>
        <v>2178000000</v>
      </c>
      <c r="S45" s="28">
        <f t="shared" si="3"/>
        <v>2.178</v>
      </c>
      <c r="T45" s="28">
        <f t="shared" si="4"/>
        <v>2.078</v>
      </c>
    </row>
    <row r="46" spans="7:20" ht="12.75">
      <c r="G46" t="s">
        <v>121</v>
      </c>
      <c r="H46" s="10">
        <f t="shared" si="6"/>
        <v>995500000</v>
      </c>
      <c r="L46" t="s">
        <v>121</v>
      </c>
      <c r="M46" s="10">
        <f t="shared" si="0"/>
        <v>995500000</v>
      </c>
      <c r="N46" s="28">
        <f t="shared" si="1"/>
        <v>0.9955</v>
      </c>
      <c r="O46" s="28">
        <f t="shared" si="2"/>
        <v>0.8955000000000001</v>
      </c>
      <c r="Q46" t="s">
        <v>66</v>
      </c>
      <c r="R46" s="10">
        <f t="shared" si="5"/>
        <v>2187000000</v>
      </c>
      <c r="S46" s="28">
        <f t="shared" si="3"/>
        <v>2.187</v>
      </c>
      <c r="T46" s="28">
        <f t="shared" si="4"/>
        <v>2.0869999999999997</v>
      </c>
    </row>
    <row r="47" spans="7:20" ht="12.75">
      <c r="G47" t="s">
        <v>122</v>
      </c>
      <c r="H47" s="10">
        <f t="shared" si="6"/>
        <v>1000000000</v>
      </c>
      <c r="L47" t="s">
        <v>122</v>
      </c>
      <c r="M47" s="10">
        <f t="shared" si="0"/>
        <v>1000000000</v>
      </c>
      <c r="N47" s="28">
        <f t="shared" si="1"/>
        <v>1</v>
      </c>
      <c r="O47" s="28">
        <f t="shared" si="2"/>
        <v>0.9</v>
      </c>
      <c r="Q47" t="s">
        <v>67</v>
      </c>
      <c r="R47" s="10">
        <f t="shared" si="5"/>
        <v>2196000000</v>
      </c>
      <c r="S47" s="28">
        <f t="shared" si="3"/>
        <v>2.196</v>
      </c>
      <c r="T47" s="28">
        <f t="shared" si="4"/>
        <v>2.096</v>
      </c>
    </row>
    <row r="48" spans="7:20" ht="12.75">
      <c r="G48" t="s">
        <v>123</v>
      </c>
      <c r="H48" s="10">
        <f t="shared" si="6"/>
        <v>1004500000</v>
      </c>
      <c r="L48" t="s">
        <v>123</v>
      </c>
      <c r="M48" s="10">
        <f t="shared" si="0"/>
        <v>1004500000</v>
      </c>
      <c r="N48" s="28">
        <f t="shared" si="1"/>
        <v>1.0045</v>
      </c>
      <c r="O48" s="28">
        <f t="shared" si="2"/>
        <v>0.9045</v>
      </c>
      <c r="Q48" t="s">
        <v>68</v>
      </c>
      <c r="R48" s="10">
        <f t="shared" si="5"/>
        <v>2205000000</v>
      </c>
      <c r="S48" s="28">
        <f t="shared" si="3"/>
        <v>2.205</v>
      </c>
      <c r="T48" s="28">
        <f t="shared" si="4"/>
        <v>2.105</v>
      </c>
    </row>
    <row r="49" spans="7:20" ht="12.75">
      <c r="G49" t="s">
        <v>124</v>
      </c>
      <c r="H49" s="10">
        <f t="shared" si="6"/>
        <v>1009000000</v>
      </c>
      <c r="L49" t="s">
        <v>124</v>
      </c>
      <c r="M49" s="10">
        <f t="shared" si="0"/>
        <v>1009000000</v>
      </c>
      <c r="N49" s="28">
        <f t="shared" si="1"/>
        <v>1.009</v>
      </c>
      <c r="O49" s="28">
        <f t="shared" si="2"/>
        <v>0.9089999999999999</v>
      </c>
      <c r="Q49" t="s">
        <v>69</v>
      </c>
      <c r="R49" s="10">
        <f t="shared" si="5"/>
        <v>2214000000</v>
      </c>
      <c r="S49" s="28">
        <f t="shared" si="3"/>
        <v>2.214</v>
      </c>
      <c r="T49" s="28">
        <f t="shared" si="4"/>
        <v>2.114</v>
      </c>
    </row>
    <row r="50" spans="7:20" ht="12.75">
      <c r="G50" t="s">
        <v>125</v>
      </c>
      <c r="H50" s="10">
        <f t="shared" si="6"/>
        <v>1013500000</v>
      </c>
      <c r="L50" t="s">
        <v>125</v>
      </c>
      <c r="M50" s="10">
        <f t="shared" si="0"/>
        <v>1013500000</v>
      </c>
      <c r="N50" s="28">
        <f t="shared" si="1"/>
        <v>1.0135</v>
      </c>
      <c r="O50" s="28">
        <f t="shared" si="2"/>
        <v>0.9135000000000001</v>
      </c>
      <c r="Q50" t="s">
        <v>70</v>
      </c>
      <c r="R50" s="10">
        <f t="shared" si="5"/>
        <v>2223000000</v>
      </c>
      <c r="S50" s="28">
        <f t="shared" si="3"/>
        <v>2.223</v>
      </c>
      <c r="T50" s="28">
        <f t="shared" si="4"/>
        <v>2.1229999999999998</v>
      </c>
    </row>
    <row r="51" spans="7:20" ht="12.75">
      <c r="G51" t="s">
        <v>126</v>
      </c>
      <c r="H51" s="10">
        <f t="shared" si="6"/>
        <v>1018000000</v>
      </c>
      <c r="L51" t="s">
        <v>126</v>
      </c>
      <c r="M51" s="10">
        <f t="shared" si="0"/>
        <v>1018000000</v>
      </c>
      <c r="N51" s="28">
        <f t="shared" si="1"/>
        <v>1.018</v>
      </c>
      <c r="O51" s="28">
        <f t="shared" si="2"/>
        <v>0.918</v>
      </c>
      <c r="Q51" t="s">
        <v>71</v>
      </c>
      <c r="R51" s="10">
        <f t="shared" si="5"/>
        <v>2232000000</v>
      </c>
      <c r="S51" s="28">
        <f t="shared" si="3"/>
        <v>2.232</v>
      </c>
      <c r="T51" s="28">
        <f t="shared" si="4"/>
        <v>2.132</v>
      </c>
    </row>
    <row r="52" spans="7:20" ht="12.75">
      <c r="G52" t="s">
        <v>127</v>
      </c>
      <c r="H52" s="10">
        <f t="shared" si="6"/>
        <v>1022500000</v>
      </c>
      <c r="L52" t="s">
        <v>127</v>
      </c>
      <c r="M52" s="10">
        <f t="shared" si="0"/>
        <v>1022500000</v>
      </c>
      <c r="N52" s="28">
        <f t="shared" si="1"/>
        <v>1.0225</v>
      </c>
      <c r="O52" s="28">
        <f t="shared" si="2"/>
        <v>0.9225</v>
      </c>
      <c r="Q52" t="s">
        <v>72</v>
      </c>
      <c r="R52" s="10">
        <f t="shared" si="5"/>
        <v>2241000000</v>
      </c>
      <c r="S52" s="28">
        <f t="shared" si="3"/>
        <v>2.241</v>
      </c>
      <c r="T52" s="28">
        <f t="shared" si="4"/>
        <v>2.141</v>
      </c>
    </row>
    <row r="62" spans="1:9" ht="12.75">
      <c r="A62" s="1" t="s">
        <v>133</v>
      </c>
      <c r="B62" s="1" t="s">
        <v>3</v>
      </c>
      <c r="C62" s="12" t="s">
        <v>74</v>
      </c>
      <c r="D62" s="1"/>
      <c r="G62" s="1" t="s">
        <v>17</v>
      </c>
      <c r="H62" s="1" t="s">
        <v>74</v>
      </c>
      <c r="I62" s="13"/>
    </row>
    <row r="63" spans="1:8" ht="12.75">
      <c r="A63" t="s">
        <v>19</v>
      </c>
      <c r="B63" t="s">
        <v>5</v>
      </c>
      <c r="C63" s="11">
        <v>1800000000</v>
      </c>
      <c r="D63" s="2"/>
      <c r="G63" t="s">
        <v>23</v>
      </c>
      <c r="H63" s="10">
        <f>C63</f>
        <v>1800000000</v>
      </c>
    </row>
    <row r="64" spans="1:8" ht="12.75">
      <c r="A64" t="s">
        <v>20</v>
      </c>
      <c r="B64" t="s">
        <v>135</v>
      </c>
      <c r="C64" s="11">
        <v>3000000</v>
      </c>
      <c r="D64" s="2"/>
      <c r="G64" t="s">
        <v>24</v>
      </c>
      <c r="H64" s="10">
        <f>H63+$C$67+$C$70</f>
        <v>1809000000</v>
      </c>
    </row>
    <row r="65" spans="1:8" ht="12.75">
      <c r="A65" t="s">
        <v>137</v>
      </c>
      <c r="B65" t="s">
        <v>135</v>
      </c>
      <c r="C65" s="11">
        <f>2*C64</f>
        <v>6000000</v>
      </c>
      <c r="D65" s="2"/>
      <c r="G65" t="s">
        <v>25</v>
      </c>
      <c r="H65" s="10">
        <f>H64+$C$67+$C$70</f>
        <v>1818000000</v>
      </c>
    </row>
    <row r="66" spans="1:8" ht="12.75">
      <c r="A66" t="s">
        <v>18</v>
      </c>
      <c r="C66" s="3">
        <v>0.3</v>
      </c>
      <c r="G66" t="s">
        <v>26</v>
      </c>
      <c r="H66" s="10">
        <f aca="true" t="shared" si="7" ref="H66:H112">H65+$C$67+$C$70</f>
        <v>1827000000</v>
      </c>
    </row>
    <row r="67" spans="1:8" ht="12.75">
      <c r="A67" t="s">
        <v>21</v>
      </c>
      <c r="B67" t="s">
        <v>5</v>
      </c>
      <c r="C67" s="11">
        <f>C65*(1+C66)</f>
        <v>7800000</v>
      </c>
      <c r="D67" s="2"/>
      <c r="G67" t="s">
        <v>27</v>
      </c>
      <c r="H67" s="10">
        <f t="shared" si="7"/>
        <v>1836000000</v>
      </c>
    </row>
    <row r="68" spans="1:8" ht="12.75">
      <c r="A68" t="s">
        <v>77</v>
      </c>
      <c r="B68" t="s">
        <v>5</v>
      </c>
      <c r="D68" s="2"/>
      <c r="G68" t="s">
        <v>28</v>
      </c>
      <c r="H68" s="10">
        <f t="shared" si="7"/>
        <v>1845000000</v>
      </c>
    </row>
    <row r="69" spans="1:8" ht="12.75">
      <c r="A69" t="s">
        <v>22</v>
      </c>
      <c r="B69" t="s">
        <v>5</v>
      </c>
      <c r="C69" s="11">
        <f>C67*0.15</f>
        <v>1170000</v>
      </c>
      <c r="D69" s="2"/>
      <c r="G69" t="s">
        <v>29</v>
      </c>
      <c r="H69" s="10">
        <f t="shared" si="7"/>
        <v>1854000000</v>
      </c>
    </row>
    <row r="70" spans="1:8" ht="12.75">
      <c r="A70" t="s">
        <v>75</v>
      </c>
      <c r="B70" t="s">
        <v>5</v>
      </c>
      <c r="C70" s="11">
        <f>ROUND(C69,-5)</f>
        <v>1200000</v>
      </c>
      <c r="D70" s="2"/>
      <c r="G70" t="s">
        <v>30</v>
      </c>
      <c r="H70" s="10">
        <f t="shared" si="7"/>
        <v>1863000000</v>
      </c>
    </row>
    <row r="71" spans="1:8" ht="12.75">
      <c r="A71" t="s">
        <v>73</v>
      </c>
      <c r="B71" t="s">
        <v>5</v>
      </c>
      <c r="C71" s="11">
        <f>C67+C69</f>
        <v>8970000</v>
      </c>
      <c r="D71" s="2"/>
      <c r="G71" t="s">
        <v>31</v>
      </c>
      <c r="H71" s="10">
        <f t="shared" si="7"/>
        <v>1872000000</v>
      </c>
    </row>
    <row r="72" spans="1:8" ht="12.75">
      <c r="A72" t="s">
        <v>76</v>
      </c>
      <c r="B72" t="s">
        <v>5</v>
      </c>
      <c r="C72" s="11">
        <f>C67+C70</f>
        <v>9000000</v>
      </c>
      <c r="G72" t="s">
        <v>32</v>
      </c>
      <c r="H72" s="10">
        <f t="shared" si="7"/>
        <v>1881000000</v>
      </c>
    </row>
    <row r="73" spans="7:8" ht="12.75">
      <c r="G73" t="s">
        <v>33</v>
      </c>
      <c r="H73" s="10">
        <f t="shared" si="7"/>
        <v>1890000000</v>
      </c>
    </row>
    <row r="74" spans="7:8" ht="12.75">
      <c r="G74" t="s">
        <v>34</v>
      </c>
      <c r="H74" s="10">
        <f t="shared" si="7"/>
        <v>1899000000</v>
      </c>
    </row>
    <row r="75" spans="7:8" ht="12.75">
      <c r="G75" t="s">
        <v>35</v>
      </c>
      <c r="H75" s="10">
        <f t="shared" si="7"/>
        <v>1908000000</v>
      </c>
    </row>
    <row r="76" spans="7:8" ht="12.75">
      <c r="G76" t="s">
        <v>36</v>
      </c>
      <c r="H76" s="10">
        <f t="shared" si="7"/>
        <v>1917000000</v>
      </c>
    </row>
    <row r="77" spans="7:8" ht="12.75">
      <c r="G77" t="s">
        <v>37</v>
      </c>
      <c r="H77" s="10">
        <f t="shared" si="7"/>
        <v>1926000000</v>
      </c>
    </row>
    <row r="78" spans="7:8" ht="12.75">
      <c r="G78" t="s">
        <v>38</v>
      </c>
      <c r="H78" s="10">
        <f t="shared" si="7"/>
        <v>1935000000</v>
      </c>
    </row>
    <row r="79" spans="7:8" ht="12.75">
      <c r="G79" t="s">
        <v>39</v>
      </c>
      <c r="H79" s="10">
        <f t="shared" si="7"/>
        <v>1944000000</v>
      </c>
    </row>
    <row r="80" spans="7:8" ht="12.75">
      <c r="G80" t="s">
        <v>40</v>
      </c>
      <c r="H80" s="10">
        <f t="shared" si="7"/>
        <v>1953000000</v>
      </c>
    </row>
    <row r="81" spans="7:8" ht="12.75">
      <c r="G81" t="s">
        <v>41</v>
      </c>
      <c r="H81" s="10">
        <f t="shared" si="7"/>
        <v>1962000000</v>
      </c>
    </row>
    <row r="82" spans="7:8" ht="12.75">
      <c r="G82" t="s">
        <v>42</v>
      </c>
      <c r="H82" s="10">
        <f t="shared" si="7"/>
        <v>1971000000</v>
      </c>
    </row>
    <row r="83" spans="7:8" ht="12.75">
      <c r="G83" t="s">
        <v>43</v>
      </c>
      <c r="H83" s="10">
        <f t="shared" si="7"/>
        <v>1980000000</v>
      </c>
    </row>
    <row r="84" spans="7:8" ht="12.75">
      <c r="G84" t="s">
        <v>44</v>
      </c>
      <c r="H84" s="10">
        <f t="shared" si="7"/>
        <v>1989000000</v>
      </c>
    </row>
    <row r="85" spans="7:8" ht="12.75">
      <c r="G85" t="s">
        <v>45</v>
      </c>
      <c r="H85" s="10">
        <f t="shared" si="7"/>
        <v>1998000000</v>
      </c>
    </row>
    <row r="86" spans="7:8" ht="12.75">
      <c r="G86" t="s">
        <v>46</v>
      </c>
      <c r="H86" s="10">
        <f t="shared" si="7"/>
        <v>2007000000</v>
      </c>
    </row>
    <row r="87" spans="7:8" ht="12.75">
      <c r="G87" t="s">
        <v>47</v>
      </c>
      <c r="H87" s="10">
        <f t="shared" si="7"/>
        <v>2016000000</v>
      </c>
    </row>
    <row r="88" spans="7:8" ht="12.75">
      <c r="G88" t="s">
        <v>48</v>
      </c>
      <c r="H88" s="10">
        <f t="shared" si="7"/>
        <v>2025000000</v>
      </c>
    </row>
    <row r="89" spans="7:8" ht="12.75">
      <c r="G89" t="s">
        <v>49</v>
      </c>
      <c r="H89" s="10">
        <f t="shared" si="7"/>
        <v>2034000000</v>
      </c>
    </row>
    <row r="90" spans="7:8" ht="12.75">
      <c r="G90" t="s">
        <v>50</v>
      </c>
      <c r="H90" s="10">
        <f t="shared" si="7"/>
        <v>2043000000</v>
      </c>
    </row>
    <row r="91" spans="7:8" ht="12.75">
      <c r="G91" t="s">
        <v>51</v>
      </c>
      <c r="H91" s="10">
        <f t="shared" si="7"/>
        <v>2052000000</v>
      </c>
    </row>
    <row r="92" spans="7:8" ht="12.75">
      <c r="G92" t="s">
        <v>52</v>
      </c>
      <c r="H92" s="10">
        <f t="shared" si="7"/>
        <v>2061000000</v>
      </c>
    </row>
    <row r="93" spans="7:8" ht="12.75">
      <c r="G93" t="s">
        <v>53</v>
      </c>
      <c r="H93" s="10">
        <f t="shared" si="7"/>
        <v>2070000000</v>
      </c>
    </row>
    <row r="94" spans="7:8" ht="12.75">
      <c r="G94" t="s">
        <v>54</v>
      </c>
      <c r="H94" s="10">
        <f t="shared" si="7"/>
        <v>2079000000</v>
      </c>
    </row>
    <row r="95" spans="7:8" ht="12.75">
      <c r="G95" t="s">
        <v>55</v>
      </c>
      <c r="H95" s="10">
        <f t="shared" si="7"/>
        <v>2088000000</v>
      </c>
    </row>
    <row r="96" spans="7:8" ht="12.75">
      <c r="G96" t="s">
        <v>56</v>
      </c>
      <c r="H96" s="10">
        <f t="shared" si="7"/>
        <v>2097000000</v>
      </c>
    </row>
    <row r="97" spans="7:8" ht="12.75">
      <c r="G97" t="s">
        <v>57</v>
      </c>
      <c r="H97" s="10">
        <f t="shared" si="7"/>
        <v>2106000000</v>
      </c>
    </row>
    <row r="98" spans="7:8" ht="12.75">
      <c r="G98" t="s">
        <v>58</v>
      </c>
      <c r="H98" s="10">
        <f t="shared" si="7"/>
        <v>2115000000</v>
      </c>
    </row>
    <row r="99" spans="7:8" ht="12.75">
      <c r="G99" t="s">
        <v>59</v>
      </c>
      <c r="H99" s="10">
        <f t="shared" si="7"/>
        <v>2124000000</v>
      </c>
    </row>
    <row r="100" spans="7:8" ht="12.75">
      <c r="G100" t="s">
        <v>60</v>
      </c>
      <c r="H100" s="10">
        <f t="shared" si="7"/>
        <v>2133000000</v>
      </c>
    </row>
    <row r="101" spans="7:8" ht="12.75">
      <c r="G101" t="s">
        <v>61</v>
      </c>
      <c r="H101" s="10">
        <f t="shared" si="7"/>
        <v>2142000000</v>
      </c>
    </row>
    <row r="102" spans="7:8" ht="12.75">
      <c r="G102" t="s">
        <v>62</v>
      </c>
      <c r="H102" s="10">
        <f t="shared" si="7"/>
        <v>2151000000</v>
      </c>
    </row>
    <row r="103" spans="7:8" ht="12.75">
      <c r="G103" t="s">
        <v>63</v>
      </c>
      <c r="H103" s="10">
        <f t="shared" si="7"/>
        <v>2160000000</v>
      </c>
    </row>
    <row r="104" spans="7:8" ht="12.75">
      <c r="G104" t="s">
        <v>64</v>
      </c>
      <c r="H104" s="10">
        <f t="shared" si="7"/>
        <v>2169000000</v>
      </c>
    </row>
    <row r="105" spans="7:8" ht="12.75">
      <c r="G105" t="s">
        <v>65</v>
      </c>
      <c r="H105" s="10">
        <f t="shared" si="7"/>
        <v>2178000000</v>
      </c>
    </row>
    <row r="106" spans="7:8" ht="12.75">
      <c r="G106" t="s">
        <v>66</v>
      </c>
      <c r="H106" s="10">
        <f t="shared" si="7"/>
        <v>2187000000</v>
      </c>
    </row>
    <row r="107" spans="7:8" ht="12.75">
      <c r="G107" t="s">
        <v>67</v>
      </c>
      <c r="H107" s="10">
        <f t="shared" si="7"/>
        <v>2196000000</v>
      </c>
    </row>
    <row r="108" spans="7:8" ht="12.75">
      <c r="G108" t="s">
        <v>68</v>
      </c>
      <c r="H108" s="10">
        <f t="shared" si="7"/>
        <v>2205000000</v>
      </c>
    </row>
    <row r="109" spans="7:8" ht="12.75">
      <c r="G109" t="s">
        <v>69</v>
      </c>
      <c r="H109" s="10">
        <f t="shared" si="7"/>
        <v>2214000000</v>
      </c>
    </row>
    <row r="110" spans="7:8" ht="12.75">
      <c r="G110" t="s">
        <v>70</v>
      </c>
      <c r="H110" s="10">
        <f t="shared" si="7"/>
        <v>2223000000</v>
      </c>
    </row>
    <row r="111" spans="7:8" ht="12.75">
      <c r="G111" t="s">
        <v>71</v>
      </c>
      <c r="H111" s="10">
        <f t="shared" si="7"/>
        <v>2232000000</v>
      </c>
    </row>
    <row r="112" spans="7:8" ht="12.75">
      <c r="G112" t="s">
        <v>72</v>
      </c>
      <c r="H112" s="10">
        <f t="shared" si="7"/>
        <v>2241000000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2"/>
  <sheetViews>
    <sheetView workbookViewId="0" topLeftCell="A1">
      <selection activeCell="D46" sqref="D46"/>
    </sheetView>
  </sheetViews>
  <sheetFormatPr defaultColWidth="9.140625" defaultRowHeight="12.75"/>
  <cols>
    <col min="1" max="1" width="10.421875" style="0" customWidth="1"/>
    <col min="2" max="2" width="40.7109375" style="0" customWidth="1"/>
    <col min="3" max="3" width="14.8515625" style="11" customWidth="1"/>
    <col min="4" max="4" width="12.00390625" style="0" customWidth="1"/>
    <col min="5" max="5" width="9.421875" style="0" customWidth="1"/>
    <col min="8" max="8" width="13.140625" style="0" bestFit="1" customWidth="1"/>
    <col min="9" max="9" width="13.140625" style="10" bestFit="1" customWidth="1"/>
  </cols>
  <sheetData>
    <row r="2" spans="1:9" ht="12.75">
      <c r="A2" s="1"/>
      <c r="B2" s="1"/>
      <c r="C2" s="12"/>
      <c r="D2" s="1"/>
      <c r="G2" s="1"/>
      <c r="H2" s="1"/>
      <c r="I2" s="13"/>
    </row>
    <row r="3" spans="1:9" ht="12.75">
      <c r="A3" s="24" t="s">
        <v>184</v>
      </c>
      <c r="B3" s="24"/>
      <c r="C3" s="24" t="s">
        <v>179</v>
      </c>
      <c r="D3" s="24" t="s">
        <v>183</v>
      </c>
      <c r="E3" s="24" t="s">
        <v>185</v>
      </c>
      <c r="F3" s="23"/>
      <c r="G3" s="23"/>
      <c r="H3" s="23"/>
      <c r="I3" s="23"/>
    </row>
    <row r="4" spans="1:9" ht="12.75">
      <c r="A4" s="23">
        <v>2</v>
      </c>
      <c r="B4" s="23" t="s">
        <v>178</v>
      </c>
      <c r="C4" s="23"/>
      <c r="D4" s="23">
        <v>200</v>
      </c>
      <c r="E4" s="23">
        <f>D4*$A$4</f>
        <v>400</v>
      </c>
      <c r="F4" s="23"/>
      <c r="G4" s="23"/>
      <c r="H4" s="23"/>
      <c r="I4" s="23"/>
    </row>
    <row r="5" spans="1:9" ht="12.75">
      <c r="A5" s="23"/>
      <c r="B5" s="23" t="s">
        <v>180</v>
      </c>
      <c r="C5" s="23">
        <v>240</v>
      </c>
      <c r="D5" s="23">
        <v>240</v>
      </c>
      <c r="E5" s="23">
        <f>D5*$A$4</f>
        <v>480</v>
      </c>
      <c r="F5" s="23"/>
      <c r="G5" s="23"/>
      <c r="H5" s="23"/>
      <c r="I5" s="23"/>
    </row>
    <row r="6" spans="1:9" ht="12.75">
      <c r="A6" s="23"/>
      <c r="B6" s="23" t="s">
        <v>181</v>
      </c>
      <c r="C6" s="23">
        <v>20</v>
      </c>
      <c r="D6" s="23">
        <v>20</v>
      </c>
      <c r="E6" s="23">
        <f>D6*$A$4</f>
        <v>40</v>
      </c>
      <c r="F6" s="23"/>
      <c r="G6" s="23"/>
      <c r="H6" s="23"/>
      <c r="I6" s="23"/>
    </row>
    <row r="7" spans="1:9" ht="12.75">
      <c r="A7" s="23"/>
      <c r="B7" s="23" t="s">
        <v>182</v>
      </c>
      <c r="C7" s="23">
        <v>100</v>
      </c>
      <c r="D7" s="23">
        <v>100</v>
      </c>
      <c r="E7" s="23">
        <f>D7*$A$4</f>
        <v>200</v>
      </c>
      <c r="F7" s="23"/>
      <c r="G7" s="23"/>
      <c r="H7" s="23"/>
      <c r="I7" s="23"/>
    </row>
    <row r="8" spans="1:9" ht="12.75">
      <c r="A8" s="23"/>
      <c r="B8" s="23"/>
      <c r="C8" s="23"/>
      <c r="D8" s="23"/>
      <c r="E8" s="23"/>
      <c r="F8" s="23"/>
      <c r="G8" s="23"/>
      <c r="H8" s="23"/>
      <c r="I8" s="23"/>
    </row>
    <row r="9" spans="1:9" ht="12.75">
      <c r="A9" s="23">
        <v>4</v>
      </c>
      <c r="B9" s="23" t="s">
        <v>186</v>
      </c>
      <c r="C9" s="23"/>
      <c r="D9" s="23">
        <v>200</v>
      </c>
      <c r="E9" s="23">
        <f>D9*$A$9</f>
        <v>800</v>
      </c>
      <c r="F9" s="23"/>
      <c r="G9" s="23"/>
      <c r="H9" s="23"/>
      <c r="I9" s="23"/>
    </row>
    <row r="10" spans="1:9" ht="12.75">
      <c r="A10" s="23"/>
      <c r="B10" s="23" t="s">
        <v>187</v>
      </c>
      <c r="C10" s="23">
        <v>10</v>
      </c>
      <c r="D10" s="23">
        <v>10</v>
      </c>
      <c r="E10" s="23">
        <f>D10*$A$9</f>
        <v>40</v>
      </c>
      <c r="F10" s="23"/>
      <c r="G10" s="23"/>
      <c r="H10" s="23"/>
      <c r="I10" s="23"/>
    </row>
    <row r="11" spans="1:9" ht="12.75">
      <c r="A11" s="23"/>
      <c r="B11" s="23" t="s">
        <v>182</v>
      </c>
      <c r="C11" s="23">
        <v>100</v>
      </c>
      <c r="D11" s="23">
        <v>100</v>
      </c>
      <c r="E11" s="23">
        <f>D11*$A$9</f>
        <v>400</v>
      </c>
      <c r="F11" s="23"/>
      <c r="G11" s="23"/>
      <c r="H11" s="23"/>
      <c r="I11" s="23"/>
    </row>
    <row r="12" spans="1:9" ht="12.75">
      <c r="A12" s="23"/>
      <c r="C12" s="23"/>
      <c r="D12" s="23"/>
      <c r="E12" s="23"/>
      <c r="F12" s="23"/>
      <c r="G12" s="23"/>
      <c r="H12" s="23"/>
      <c r="I12" s="23"/>
    </row>
    <row r="13" spans="1:9" ht="12.75">
      <c r="A13" s="23"/>
      <c r="B13" s="23"/>
      <c r="C13" s="23"/>
      <c r="D13" s="25" t="s">
        <v>188</v>
      </c>
      <c r="E13" s="24">
        <f>SUM(E4:E12)</f>
        <v>2360</v>
      </c>
      <c r="F13" s="23"/>
      <c r="G13" s="23"/>
      <c r="H13" s="23"/>
      <c r="I13" s="23"/>
    </row>
    <row r="14" spans="1:9" ht="12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ht="12.75">
      <c r="H41" s="10"/>
    </row>
    <row r="42" ht="12.75">
      <c r="H42" s="10"/>
    </row>
    <row r="43" ht="12.75">
      <c r="H43" s="10"/>
    </row>
    <row r="44" ht="12.75">
      <c r="H44" s="10"/>
    </row>
    <row r="45" ht="12.75">
      <c r="H45" s="10"/>
    </row>
    <row r="46" ht="12.75">
      <c r="H46" s="10"/>
    </row>
    <row r="47" ht="12.75">
      <c r="H47" s="10"/>
    </row>
    <row r="48" ht="12.75">
      <c r="H48" s="10"/>
    </row>
    <row r="49" ht="12.75">
      <c r="H49" s="10"/>
    </row>
    <row r="50" ht="12.75">
      <c r="H50" s="10"/>
    </row>
    <row r="51" ht="12.75">
      <c r="H51" s="10"/>
    </row>
    <row r="52" ht="12.75">
      <c r="H52" s="10"/>
    </row>
    <row r="62" spans="1:9" ht="12.75">
      <c r="A62" s="1"/>
      <c r="B62" s="1"/>
      <c r="C62" s="12"/>
      <c r="D62" s="1"/>
      <c r="G62" s="1"/>
      <c r="H62" s="1"/>
      <c r="I62" s="13"/>
    </row>
    <row r="63" spans="4:8" ht="12.75">
      <c r="D63" s="2"/>
      <c r="H63" s="10"/>
    </row>
    <row r="64" spans="4:8" ht="12.75">
      <c r="D64" s="2"/>
      <c r="H64" s="10"/>
    </row>
    <row r="65" spans="4:8" ht="12.75">
      <c r="D65" s="2"/>
      <c r="H65" s="10"/>
    </row>
    <row r="66" spans="3:8" ht="12.75">
      <c r="C66" s="3"/>
      <c r="H66" s="10"/>
    </row>
    <row r="67" spans="4:8" ht="12.75">
      <c r="D67" s="2"/>
      <c r="H67" s="10"/>
    </row>
    <row r="68" spans="4:8" ht="12.75">
      <c r="D68" s="2"/>
      <c r="H68" s="10"/>
    </row>
    <row r="69" spans="4:8" ht="12.75">
      <c r="D69" s="2"/>
      <c r="H69" s="10"/>
    </row>
    <row r="70" spans="4:8" ht="12.75">
      <c r="D70" s="2"/>
      <c r="H70" s="10"/>
    </row>
    <row r="71" spans="4:8" ht="12.75">
      <c r="D71" s="2"/>
      <c r="H71" s="10"/>
    </row>
    <row r="72" ht="12.75">
      <c r="H72" s="10"/>
    </row>
    <row r="73" ht="12.75">
      <c r="H73" s="10"/>
    </row>
    <row r="74" ht="12.75">
      <c r="H74" s="10"/>
    </row>
    <row r="75" ht="12.75">
      <c r="H75" s="10"/>
    </row>
    <row r="76" ht="12.75">
      <c r="H76" s="10"/>
    </row>
    <row r="77" ht="12.75">
      <c r="H77" s="10"/>
    </row>
    <row r="78" ht="12.75">
      <c r="H78" s="10"/>
    </row>
    <row r="79" ht="12.75">
      <c r="H79" s="10"/>
    </row>
    <row r="80" ht="12.75">
      <c r="H80" s="10"/>
    </row>
    <row r="81" ht="12.75">
      <c r="H81" s="10"/>
    </row>
    <row r="82" ht="12.75">
      <c r="H82" s="10"/>
    </row>
    <row r="83" ht="12.75">
      <c r="H83" s="10"/>
    </row>
    <row r="84" ht="12.75">
      <c r="H84" s="10"/>
    </row>
    <row r="85" ht="12.75">
      <c r="H85" s="10"/>
    </row>
    <row r="86" ht="12.75">
      <c r="H86" s="10"/>
    </row>
    <row r="87" ht="12.75">
      <c r="H87" s="10"/>
    </row>
    <row r="88" ht="12.75">
      <c r="H88" s="10"/>
    </row>
    <row r="89" ht="12.75">
      <c r="H89" s="10"/>
    </row>
    <row r="90" ht="12.75">
      <c r="H90" s="10"/>
    </row>
    <row r="91" ht="12.75">
      <c r="H91" s="10"/>
    </row>
    <row r="92" ht="12.75">
      <c r="H92" s="10"/>
    </row>
    <row r="93" ht="12.75">
      <c r="H93" s="10"/>
    </row>
    <row r="94" ht="12.75">
      <c r="H94" s="10"/>
    </row>
    <row r="95" ht="12.75">
      <c r="H95" s="10"/>
    </row>
    <row r="96" ht="12.75">
      <c r="H96" s="10"/>
    </row>
    <row r="97" ht="12.75">
      <c r="H97" s="10"/>
    </row>
    <row r="98" ht="12.75">
      <c r="H98" s="10"/>
    </row>
    <row r="99" ht="12.75">
      <c r="H99" s="10"/>
    </row>
    <row r="100" ht="12.75">
      <c r="H100" s="10"/>
    </row>
    <row r="101" ht="12.75">
      <c r="H101" s="10"/>
    </row>
    <row r="102" ht="12.75">
      <c r="H102" s="10"/>
    </row>
    <row r="103" ht="12.75">
      <c r="H103" s="10"/>
    </row>
    <row r="104" ht="12.75">
      <c r="H104" s="10"/>
    </row>
    <row r="105" ht="12.75">
      <c r="H105" s="10"/>
    </row>
    <row r="106" ht="12.75">
      <c r="H106" s="10"/>
    </row>
    <row r="107" ht="12.75">
      <c r="H107" s="10"/>
    </row>
    <row r="108" ht="12.75">
      <c r="H108" s="10"/>
    </row>
    <row r="109" ht="12.75">
      <c r="H109" s="10"/>
    </row>
    <row r="110" ht="12.75">
      <c r="H110" s="10"/>
    </row>
    <row r="111" ht="12.75">
      <c r="H111" s="10"/>
    </row>
    <row r="112" ht="12.75">
      <c r="H112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ECE</dc:creator>
  <cp:keywords/>
  <dc:description/>
  <cp:lastModifiedBy>me</cp:lastModifiedBy>
  <cp:lastPrinted>2005-12-12T16:00:21Z</cp:lastPrinted>
  <dcterms:created xsi:type="dcterms:W3CDTF">2005-12-07T15:48:28Z</dcterms:created>
  <dcterms:modified xsi:type="dcterms:W3CDTF">2005-12-14T06:11:59Z</dcterms:modified>
  <cp:category/>
  <cp:version/>
  <cp:contentType/>
  <cp:contentStatus/>
</cp:coreProperties>
</file>